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agon\Desktop\"/>
    </mc:Choice>
  </mc:AlternateContent>
  <bookViews>
    <workbookView xWindow="0" yWindow="0" windowWidth="23040" windowHeight="8930"/>
  </bookViews>
  <sheets>
    <sheet name="DEV. SHEET" sheetId="3" r:id="rId1"/>
    <sheet name="DATA" sheetId="4" r:id="rId2"/>
  </sheets>
  <definedNames>
    <definedName name="_xlnm.Print_Area" localSheetId="0">'DEV. SHEET'!$A$1:$K$59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8" i="3" l="1"/>
  <c r="C49" i="3" s="1"/>
  <c r="L40" i="3"/>
  <c r="O54" i="3"/>
  <c r="K25" i="3"/>
  <c r="K28" i="3"/>
  <c r="K36" i="3" s="1"/>
  <c r="O52" i="3" l="1"/>
  <c r="O53" i="3" s="1"/>
  <c r="O56" i="3" s="1"/>
  <c r="K23" i="3"/>
  <c r="N23" i="3" s="1"/>
  <c r="K18" i="3"/>
  <c r="K26" i="3"/>
  <c r="D49" i="3" l="1"/>
  <c r="H58" i="3"/>
  <c r="G58" i="3"/>
  <c r="F58" i="3"/>
  <c r="D58" i="3"/>
  <c r="C58" i="3"/>
  <c r="H57" i="3"/>
  <c r="G57" i="3"/>
  <c r="F57" i="3"/>
  <c r="D57" i="3"/>
  <c r="C57" i="3"/>
  <c r="H56" i="3"/>
  <c r="G56" i="3"/>
  <c r="F56" i="3"/>
  <c r="D56" i="3"/>
  <c r="C56" i="3"/>
  <c r="H45" i="3"/>
  <c r="G45" i="3"/>
  <c r="F45" i="3"/>
  <c r="C45" i="3"/>
  <c r="D45" i="3"/>
  <c r="C44" i="3"/>
  <c r="C37" i="3" l="1"/>
  <c r="O39" i="3"/>
  <c r="O40" i="3" s="1"/>
  <c r="J49" i="3"/>
  <c r="I49" i="3"/>
  <c r="H49" i="3"/>
  <c r="G49" i="3"/>
  <c r="F49" i="3"/>
  <c r="E49" i="3"/>
  <c r="K49" i="3"/>
  <c r="K30" i="3"/>
  <c r="K34" i="3" s="1"/>
  <c r="I74" i="3"/>
  <c r="I79" i="3"/>
  <c r="I80" i="3"/>
  <c r="I78" i="3"/>
  <c r="I77" i="3"/>
  <c r="I76" i="3"/>
  <c r="I75" i="3"/>
  <c r="H80" i="3"/>
  <c r="B67" i="3"/>
  <c r="B66" i="3"/>
  <c r="B65" i="3"/>
  <c r="K61" i="3"/>
  <c r="H64" i="3"/>
  <c r="K64" i="3" s="1"/>
  <c r="H63" i="3"/>
  <c r="K63" i="3" s="1"/>
  <c r="H62" i="3"/>
  <c r="K62" i="3" s="1"/>
  <c r="G64" i="3"/>
  <c r="G63" i="3"/>
  <c r="G62" i="3"/>
  <c r="C64" i="3"/>
  <c r="C63" i="3"/>
  <c r="C62" i="3"/>
  <c r="G4" i="4"/>
  <c r="G13" i="4"/>
  <c r="G11" i="4"/>
  <c r="G7" i="4"/>
  <c r="G6" i="4"/>
  <c r="G5" i="4"/>
  <c r="E15" i="4"/>
  <c r="C15" i="4"/>
  <c r="C16" i="4" s="1"/>
  <c r="K37" i="3" l="1"/>
  <c r="G37" i="3"/>
  <c r="I37" i="3"/>
  <c r="D37" i="3"/>
  <c r="E37" i="3"/>
  <c r="F37" i="3"/>
  <c r="J37" i="3"/>
  <c r="H37" i="3"/>
  <c r="G15" i="4"/>
</calcChain>
</file>

<file path=xl/sharedStrings.xml><?xml version="1.0" encoding="utf-8"?>
<sst xmlns="http://schemas.openxmlformats.org/spreadsheetml/2006/main" count="232" uniqueCount="201">
  <si>
    <t xml:space="preserve">Applicant Name: </t>
  </si>
  <si>
    <r>
      <rPr>
        <sz val="11"/>
        <rFont val="Arial"/>
        <family val="2"/>
      </rPr>
      <t>Water-Efficient Single-Family New Home Specification</t>
    </r>
  </si>
  <si>
    <r>
      <rPr>
        <b/>
        <sz val="11"/>
        <rFont val="Arial"/>
        <family val="2"/>
      </rPr>
      <t>Table 2. Expected Daily Per Capita Indoor Water Savings from WaterSense Labeled New Homes</t>
    </r>
  </si>
  <si>
    <r>
      <rPr>
        <b/>
        <sz val="11"/>
        <rFont val="Arial"/>
        <family val="2"/>
      </rPr>
      <t>Indoor
Features</t>
    </r>
  </si>
  <si>
    <r>
      <rPr>
        <b/>
        <sz val="11"/>
        <rFont val="Arial"/>
        <family val="2"/>
      </rPr>
      <t>Standard Water Use</t>
    </r>
  </si>
  <si>
    <r>
      <rPr>
        <b/>
        <sz val="11"/>
        <rFont val="Arial"/>
        <family val="2"/>
      </rPr>
      <t>Standard Use
(gal/day/capita)</t>
    </r>
  </si>
  <si>
    <r>
      <rPr>
        <b/>
        <sz val="11"/>
        <rFont val="Arial"/>
        <family val="2"/>
      </rPr>
      <t>WaterSense Criteria</t>
    </r>
  </si>
  <si>
    <r>
      <rPr>
        <b/>
        <sz val="11"/>
        <rFont val="Arial"/>
        <family val="2"/>
      </rPr>
      <t>Expected Use
(gal/day/capita)</t>
    </r>
  </si>
  <si>
    <r>
      <rPr>
        <b/>
        <sz val="11"/>
        <rFont val="Arial"/>
        <family val="2"/>
      </rPr>
      <t>Expected Water
Savings
(gal/day/capita)</t>
    </r>
  </si>
  <si>
    <r>
      <rPr>
        <sz val="11"/>
        <rFont val="Arial"/>
        <family val="2"/>
      </rPr>
      <t>Toilets</t>
    </r>
  </si>
  <si>
    <r>
      <rPr>
        <sz val="11"/>
        <rFont val="Arial"/>
        <family val="2"/>
      </rPr>
      <t>1.6 gpf</t>
    </r>
  </si>
  <si>
    <r>
      <rPr>
        <sz val="11"/>
        <rFont val="Arial"/>
        <family val="2"/>
      </rPr>
      <t>1.28 gpf</t>
    </r>
  </si>
  <si>
    <r>
      <rPr>
        <sz val="11"/>
        <rFont val="Arial"/>
        <family val="2"/>
      </rPr>
      <t>1.63 (20%)</t>
    </r>
  </si>
  <si>
    <r>
      <rPr>
        <sz val="11"/>
        <rFont val="Arial"/>
        <family val="2"/>
      </rPr>
      <t>Bathroom</t>
    </r>
  </si>
  <si>
    <r>
      <rPr>
        <sz val="11"/>
        <rFont val="Arial"/>
        <family val="2"/>
      </rPr>
      <t>2.2 gpm</t>
    </r>
  </si>
  <si>
    <r>
      <rPr>
        <sz val="11"/>
        <rFont val="Arial"/>
        <family val="2"/>
      </rPr>
      <t>1.5 gpm26</t>
    </r>
  </si>
  <si>
    <r>
      <rPr>
        <sz val="11"/>
        <rFont val="Arial"/>
        <family val="2"/>
      </rPr>
      <t>0.57 (5%)</t>
    </r>
  </si>
  <si>
    <r>
      <rPr>
        <sz val="11"/>
        <rFont val="Arial"/>
        <family val="2"/>
      </rPr>
      <t>faucets
Showerheads</t>
    </r>
  </si>
  <si>
    <r>
      <rPr>
        <sz val="11"/>
        <rFont val="Arial"/>
        <family val="2"/>
      </rPr>
      <t>2.5 gpm</t>
    </r>
  </si>
  <si>
    <r>
      <rPr>
        <sz val="11"/>
        <rFont val="Arial"/>
        <family val="2"/>
      </rPr>
      <t>0 (0%)</t>
    </r>
  </si>
  <si>
    <r>
      <rPr>
        <sz val="11"/>
        <rFont val="Arial"/>
        <family val="2"/>
      </rPr>
      <t>Hot water delivery</t>
    </r>
  </si>
  <si>
    <r>
      <rPr>
        <sz val="11"/>
        <rFont val="Arial"/>
        <family val="2"/>
      </rPr>
      <t>~10 gallons per day per household wasted28</t>
    </r>
  </si>
  <si>
    <r>
      <rPr>
        <sz val="11"/>
        <rFont val="Arial"/>
        <family val="2"/>
      </rPr>
      <t>Assume 10% water savings for insulation</t>
    </r>
  </si>
  <si>
    <r>
      <rPr>
        <sz val="11"/>
        <rFont val="Arial"/>
        <family val="2"/>
      </rPr>
      <t>0.96 (25%)</t>
    </r>
  </si>
  <si>
    <r>
      <rPr>
        <sz val="11"/>
        <rFont val="Arial"/>
        <family val="2"/>
      </rPr>
      <t>systems</t>
    </r>
  </si>
  <si>
    <r>
      <rPr>
        <sz val="11"/>
        <rFont val="Arial"/>
        <family val="2"/>
      </rPr>
      <t>and between 15 – 20%</t>
    </r>
  </si>
  <si>
    <r>
      <rPr>
        <sz val="11"/>
        <rFont val="Arial"/>
        <family val="2"/>
      </rPr>
      <t>water savings for</t>
    </r>
  </si>
  <si>
    <r>
      <rPr>
        <sz val="11"/>
        <rFont val="Arial"/>
        <family val="2"/>
      </rPr>
      <t>improved design.30</t>
    </r>
  </si>
  <si>
    <r>
      <rPr>
        <sz val="11"/>
        <rFont val="Arial"/>
        <family val="2"/>
      </rPr>
      <t>Dishwashers</t>
    </r>
  </si>
  <si>
    <r>
      <rPr>
        <sz val="11"/>
        <rFont val="Arial"/>
        <family val="2"/>
      </rPr>
      <t>8.6 gallons per load31</t>
    </r>
  </si>
  <si>
    <r>
      <rPr>
        <sz val="11"/>
        <rFont val="Arial"/>
        <family val="2"/>
      </rPr>
      <t>5.8 gallons per load</t>
    </r>
  </si>
  <si>
    <r>
      <rPr>
        <sz val="11"/>
        <rFont val="Arial"/>
        <family val="2"/>
      </rPr>
      <t>0.35 (33%)</t>
    </r>
  </si>
  <si>
    <r>
      <rPr>
        <sz val="11"/>
        <rFont val="Arial"/>
        <family val="2"/>
      </rPr>
      <t>(6 gallons per cycle)32</t>
    </r>
  </si>
  <si>
    <r>
      <rPr>
        <sz val="11"/>
        <rFont val="Arial"/>
        <family val="2"/>
      </rPr>
      <t>(4 gallons per cycle)33</t>
    </r>
  </si>
  <si>
    <r>
      <rPr>
        <sz val="11"/>
        <rFont val="Arial"/>
        <family val="2"/>
      </rPr>
      <t>Clothes</t>
    </r>
  </si>
  <si>
    <r>
      <rPr>
        <sz val="11"/>
        <rFont val="Arial"/>
        <family val="2"/>
      </rPr>
      <t>39.6 gallons per load34</t>
    </r>
  </si>
  <si>
    <r>
      <rPr>
        <sz val="11"/>
        <rFont val="Arial"/>
        <family val="2"/>
      </rPr>
      <t>24 gallons per load35</t>
    </r>
  </si>
  <si>
    <r>
      <rPr>
        <sz val="11"/>
        <rFont val="Arial"/>
        <family val="2"/>
      </rPr>
      <t>6.91 (45%)</t>
    </r>
  </si>
  <si>
    <t>washers</t>
  </si>
  <si>
    <t xml:space="preserve">(12 gallons per cycle per cubic foot)                                                          </t>
  </si>
  <si>
    <t>(6 gallons per cycle per cubic foot)</t>
  </si>
  <si>
    <t xml:space="preserve">                                                                      </t>
  </si>
  <si>
    <t>Total Indoor</t>
  </si>
  <si>
    <r>
      <rPr>
        <sz val="11"/>
        <rFont val="Arial"/>
        <family val="2"/>
      </rPr>
      <t>24  Assumes 5.1 flushes/day/person per Mayer. P,  DeOreo, W. et al 2000 and 2003.</t>
    </r>
  </si>
  <si>
    <r>
      <rPr>
        <sz val="11"/>
        <rFont val="Arial"/>
        <family val="2"/>
      </rPr>
      <t>25  Assumes flow of 1.2 gpm and average use of 9.34 minutes/person/day per Mayer , P., DeOreo, W. et al 2000 and 2003.</t>
    </r>
  </si>
  <si>
    <r>
      <rPr>
        <sz val="11"/>
        <rFont val="Arial"/>
        <family val="2"/>
      </rPr>
      <t>26 Assumes flow of 0.97 gpm and average use of 10.97 minutes/person/day per Mayer , P., DeOreo, W. et al 2000 and 2003.</t>
    </r>
  </si>
  <si>
    <r>
      <rPr>
        <sz val="11"/>
        <rFont val="Arial"/>
        <family val="2"/>
      </rPr>
      <t>27 Assumes flow of 2.13 gpm, average use of 8.36 min/shower/person, and 0.58 showers/person/day per Mayer P., DeOreo W. et al 2000 and 2003.</t>
    </r>
  </si>
  <si>
    <r>
      <rPr>
        <sz val="11"/>
        <rFont val="Arial"/>
        <family val="2"/>
      </rPr>
      <t xml:space="preserve">28 Klein, Gary. </t>
    </r>
    <r>
      <rPr>
        <i/>
        <sz val="11"/>
        <rFont val="Arial"/>
        <family val="2"/>
      </rPr>
      <t>Hot Water Distribution Considerations for BMPs</t>
    </r>
    <r>
      <rPr>
        <sz val="11"/>
        <rFont val="Arial"/>
        <family val="2"/>
      </rPr>
      <t>. Presentation made on August 21, 2006 to the California Urban Water Conservation Council.</t>
    </r>
  </si>
  <si>
    <r>
      <rPr>
        <sz val="11"/>
        <rFont val="Arial"/>
        <family val="2"/>
      </rPr>
      <t>29 Assumes 2.6 persons per household per U.S. Department of Housing and Urban Development 2005 .</t>
    </r>
  </si>
  <si>
    <r>
      <rPr>
        <sz val="11"/>
        <rFont val="Arial"/>
        <family val="2"/>
      </rPr>
      <t xml:space="preserve">30 Acker, L., Klein, G. </t>
    </r>
    <r>
      <rPr>
        <i/>
        <sz val="11"/>
        <rFont val="Arial"/>
        <family val="2"/>
      </rPr>
      <t>Benefits of Demand-Controlled Pumping</t>
    </r>
    <r>
      <rPr>
        <sz val="11"/>
        <rFont val="Arial"/>
        <family val="2"/>
      </rPr>
      <t>. Home Energy. September/October 2006.</t>
    </r>
  </si>
  <si>
    <r>
      <rPr>
        <sz val="11"/>
        <rFont val="Arial"/>
        <family val="2"/>
      </rPr>
      <t>31 Assumes 8.64 gallons/load and 0.12 loads/person per Mayer , P., DeOreo, W. et al 2000, 2003, and 2004.</t>
    </r>
  </si>
  <si>
    <r>
      <rPr>
        <sz val="11"/>
        <rFont val="Arial"/>
        <family val="2"/>
      </rPr>
      <t>32 ENERGY STAR Frequently Asked Questions on Dishwashers. &lt;energystar.custhelp.com/cgi-bin/energystar.cfg/php/enduser/std_adp.php?p_faqid=2539&amp;o_created…&gt;accessed 2/15/08.</t>
    </r>
  </si>
  <si>
    <r>
      <rPr>
        <sz val="11"/>
        <rFont val="Arial"/>
        <family val="2"/>
      </rPr>
      <t>33 Ibid.</t>
    </r>
  </si>
  <si>
    <r>
      <rPr>
        <sz val="11"/>
        <rFont val="Arial"/>
        <family val="2"/>
      </rPr>
      <t>34  Assumes 39.36 gallons/load and 0.39 loads/person per Mayer , P., DeOreo, W. et al 2000, 2003, and 2004.</t>
    </r>
  </si>
  <si>
    <r>
      <rPr>
        <sz val="11"/>
        <rFont val="Arial"/>
        <family val="2"/>
      </rPr>
      <t>35 Assumes 24.15 gallons/load and 0.35 loads/person per Mayer , P., DeOreo, W. et al 2000, 2003, and 2004.</t>
    </r>
  </si>
  <si>
    <r>
      <rPr>
        <sz val="11"/>
        <rFont val="Arial"/>
        <family val="2"/>
      </rPr>
      <t>14                                                                                                                         May 14, 2008</t>
    </r>
  </si>
  <si>
    <t>Bennett 
Average</t>
  </si>
  <si>
    <t xml:space="preserve">Raw Water Dedication </t>
  </si>
  <si>
    <t>DO NOT SHOW (HIDE ON FORM)</t>
  </si>
  <si>
    <t>TEAM INPUT NEEDED</t>
  </si>
  <si>
    <t xml:space="preserve">Unit Type Dropdown </t>
  </si>
  <si>
    <t>Select from Drop Down Unit Type</t>
  </si>
  <si>
    <t>Applicant E-mail Address:</t>
  </si>
  <si>
    <t>Service Address:</t>
  </si>
  <si>
    <t>3/4-inch tap &amp; meter</t>
  </si>
  <si>
    <t>1-inch meter        1-1/2-inch meter        2-inch meter</t>
  </si>
  <si>
    <t>3-inch tap &amp; meter</t>
  </si>
  <si>
    <t>Uses above 2-inch</t>
  </si>
  <si>
    <t>application, review</t>
  </si>
  <si>
    <t>and agreement.</t>
  </si>
  <si>
    <t>size to be by special</t>
  </si>
  <si>
    <t>25 GPM                  50 GPM                  80 GPM</t>
  </si>
  <si>
    <t>1,050 GPD             2,100 GPD             3,350 GPD</t>
  </si>
  <si>
    <t>185,100 gal/yr         370,100 gal/yr         591,7000 gal/yr</t>
  </si>
  <si>
    <t>1.00 SFE's</t>
  </si>
  <si>
    <t>1.67 SFE's             3.34 SFE'S              5.34 SFE'S</t>
  </si>
  <si>
    <t>15 GPM</t>
  </si>
  <si>
    <t>Calculated Estimated Acre Feet Per Year Use:</t>
  </si>
  <si>
    <t>0.340 A-F/year</t>
  </si>
  <si>
    <t xml:space="preserve">0.568 A-F/year        1.136 A-F/year        1.816 A-F/year </t>
  </si>
  <si>
    <t xml:space="preserve">$ 24,451   </t>
  </si>
  <si>
    <t xml:space="preserve">$ 40,833                   $ 81,666                $ 130,568   </t>
  </si>
  <si>
    <t>HOTEL</t>
  </si>
  <si>
    <t>2.62-inch</t>
  </si>
  <si>
    <t>14 A-F/year</t>
  </si>
  <si>
    <t>4,561,605 gal/yr</t>
  </si>
  <si>
    <t>625 GPD</t>
  </si>
  <si>
    <t>110,800 gal/yr</t>
  </si>
  <si>
    <t>130 GPM</t>
  </si>
  <si>
    <t>25,000 GPD</t>
  </si>
  <si>
    <t>STATUS:</t>
  </si>
  <si>
    <t>OKAY, &lt; 0.34 A-F/year</t>
  </si>
  <si>
    <t>HOTEL SFE:</t>
  </si>
  <si>
    <t>75 watering days x 1/2" per watering day</t>
  </si>
  <si>
    <t>OKAY, &lt; 625 GPMD</t>
  </si>
  <si>
    <t>SFE's Allocation:</t>
  </si>
  <si>
    <t>.8 SFE's</t>
  </si>
  <si>
    <t>1 SFE's</t>
  </si>
  <si>
    <t>1-inch meter</t>
  </si>
  <si>
    <t>1-1/2-inch meter</t>
  </si>
  <si>
    <t>2-inch meter</t>
  </si>
  <si>
    <t>1.67 SFE's</t>
  </si>
  <si>
    <t>3.34 SFE'S</t>
  </si>
  <si>
    <t>5.34 SFE'S</t>
  </si>
  <si>
    <t>25 GPM</t>
  </si>
  <si>
    <t>50 GPM</t>
  </si>
  <si>
    <t>80 GPM</t>
  </si>
  <si>
    <t>1,050 GPD</t>
  </si>
  <si>
    <t>2,100 GPD</t>
  </si>
  <si>
    <t>3,350 GPD</t>
  </si>
  <si>
    <t>21,000 gal/mo</t>
  </si>
  <si>
    <t>42,000 gal/mo</t>
  </si>
  <si>
    <t>67,000 gal/mo</t>
  </si>
  <si>
    <t>185,100 gal/yr</t>
  </si>
  <si>
    <t>370,100 gal/yr</t>
  </si>
  <si>
    <t>591,7000 gal/yr</t>
  </si>
  <si>
    <t>0.568 A-F/year</t>
  </si>
  <si>
    <t>1.136 A-F/year</t>
  </si>
  <si>
    <t>1.816 A-F/year</t>
  </si>
  <si>
    <t>site- and use-specific</t>
  </si>
  <si>
    <t xml:space="preserve">Landscape Area Water Use </t>
  </si>
  <si>
    <t>**Denver Water Estimates that Average Landscape Area Uses 15 Gallons Per Square Foot of Landscape Area a Year</t>
  </si>
  <si>
    <t>Project Information</t>
  </si>
  <si>
    <t>Calculated Total Gallons Per Year Water Use:</t>
  </si>
  <si>
    <t xml:space="preserve">Unit Conversions from Gallons to Acre Feet Per Year Use (325,851 gallons in 1 acre foot) </t>
  </si>
  <si>
    <t>&lt;89,999 GPY</t>
  </si>
  <si>
    <t>90,000 GPY</t>
  </si>
  <si>
    <t>240,000 GPY</t>
  </si>
  <si>
    <t>500,000 GPY</t>
  </si>
  <si>
    <t>680,000 GPY</t>
  </si>
  <si>
    <t>0 GPY</t>
  </si>
  <si>
    <t>Min Gallons Per Year:</t>
  </si>
  <si>
    <t>140,000 GPY</t>
  </si>
  <si>
    <t>Max Gallons Per Year:</t>
  </si>
  <si>
    <t>Water Development Fee:</t>
  </si>
  <si>
    <t>Applicant Phone Number:</t>
  </si>
  <si>
    <t>Project/Development Name :</t>
  </si>
  <si>
    <t>Single-Family Equivalent (SFE) Calculator</t>
  </si>
  <si>
    <t>Please fill in the blue boxes below</t>
  </si>
  <si>
    <t>Enter Total Lot Size (Enter Square Feet):</t>
  </si>
  <si>
    <t xml:space="preserve">(State Demographer Office Estimates 1.2 Person Per Room) </t>
  </si>
  <si>
    <t>=Bedrooms X 1.2</t>
  </si>
  <si>
    <t>=Lot Size - Hardscape - Reuse Water</t>
  </si>
  <si>
    <t>.6 SFE's</t>
  </si>
  <si>
    <t>Typical SFE - Tier II</t>
  </si>
  <si>
    <t xml:space="preserve">Sewer Development Fee: </t>
  </si>
  <si>
    <t>Utility Impact - Tier Allocation</t>
  </si>
  <si>
    <t>70,000 GPY</t>
  </si>
  <si>
    <t>&lt;69,999 GPY</t>
  </si>
  <si>
    <t xml:space="preserve">Wise - Tier I </t>
  </si>
  <si>
    <t>2,500 SF</t>
  </si>
  <si>
    <t>5,000 SF</t>
  </si>
  <si>
    <t>&lt;2,499 SF</t>
  </si>
  <si>
    <t>Facilities Fee:</t>
  </si>
  <si>
    <t>Storm Fee:</t>
  </si>
  <si>
    <t>Transportation Fee:</t>
  </si>
  <si>
    <t>Facilities, Storm and Transportation Impact - Tier Allocation</t>
  </si>
  <si>
    <t>Impact Tier:</t>
  </si>
  <si>
    <t>1,200 SF</t>
  </si>
  <si>
    <t>&lt;999 SF</t>
  </si>
  <si>
    <t>0 SF</t>
  </si>
  <si>
    <t>4,999 SF</t>
  </si>
  <si>
    <t>8,699 SF</t>
  </si>
  <si>
    <t>19,999 SF</t>
  </si>
  <si>
    <t>20,000 SF</t>
  </si>
  <si>
    <t>26,700 GPY</t>
  </si>
  <si>
    <t>Gold - Tier</t>
  </si>
  <si>
    <t>Max Useable Square Footage:</t>
  </si>
  <si>
    <t>Min Useable Square Footage:</t>
  </si>
  <si>
    <t>139,999 GPY</t>
  </si>
  <si>
    <t>239,999 GPY</t>
  </si>
  <si>
    <t>499,999 GPY</t>
  </si>
  <si>
    <t>Commercial/
Other- Tier V</t>
  </si>
  <si>
    <t>12,500 gal/mo.</t>
  </si>
  <si>
    <t>21,000 gal/mo.         42,000 gal/mo.         67,000 gal/mo.</t>
  </si>
  <si>
    <t>775,000 gal/mo.</t>
  </si>
  <si>
    <t>Small Office Retail - Tier IV</t>
  </si>
  <si>
    <t>Residential Estate SFE - Tier III</t>
  </si>
  <si>
    <t>Commercial/Retail/Industrial</t>
  </si>
  <si>
    <t xml:space="preserve">Facilities, Storm and Transportation Impact </t>
  </si>
  <si>
    <t>Enter Total Purple Pipe or Xeriscape (zero demand) Irrigation (Enter Square Feet):</t>
  </si>
  <si>
    <t>Restaurant/Fast Food</t>
  </si>
  <si>
    <t>Common Area Water Use, Such As Kitchen, Breakroom or Washroom.</t>
  </si>
  <si>
    <t>Residential</t>
  </si>
  <si>
    <t>**Denver Water Estimates that Typical Common Area Use is: 6,000 GPY Residential, 15,000 GPY Commercial, 200,000 GPY Restaurant</t>
  </si>
  <si>
    <t xml:space="preserve">Per Capita Water Use (Estimate .87 Person Per Room) </t>
  </si>
  <si>
    <t>**Denver Water Estimates that Average Per Capita Water Use is 35 Gallons Per Day or 12,775 Per Year Per Employee</t>
  </si>
  <si>
    <t>**Denver Water Estimates that Average Per Capita Water Use is 50 Gallons Per Day or 18,250 Per Year Per Bedroom/Hotel Room</t>
  </si>
  <si>
    <t>Irrigated Area:</t>
  </si>
  <si>
    <t>**Based on square footage allocation for usable space plus parking.</t>
  </si>
  <si>
    <t>Park/Irrigation Only</t>
  </si>
  <si>
    <t>Enter Total Non-Irrigated Area, i.e. Building Roof, Driveway, Patio (Enter Square Feet):</t>
  </si>
  <si>
    <t>Enter Number of Like Units</t>
  </si>
  <si>
    <t>Enter Number of Bedrooms (Per Unit Average) or Hotel Room:</t>
  </si>
  <si>
    <t>=Employees X 1.2</t>
  </si>
  <si>
    <t>Enter Number of Total Employees Per Day (Non-Residential Only):</t>
  </si>
  <si>
    <t>Above Tier V to be set by special site-and use-specific application, review and agreement.</t>
  </si>
  <si>
    <t>8,700 SF</t>
  </si>
  <si>
    <t>PER UNIT UTILITY TIER (GALLONS PER YEAR):</t>
  </si>
  <si>
    <t>PER UNIT IMPACT TIER:</t>
  </si>
  <si>
    <t>Unit Type/Model Reference: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</si>
</sst>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_(* #,##0_);_(* \(#,##0\);_(* &quot;-&quot;??_);_(@_)"/>
    <numFmt numFmtId="166" formatCode="_(* #,##0.0_);_(* \(#,##0.0\);_(* &quot;-&quot;??_);_(@_)"/>
    <numFmt numFmtId="167" formatCode="###0.00;###0.00"/>
    <numFmt numFmtId="168" formatCode="0.000"/>
    <numFmt numFmtId="169" formatCode="0.0"/>
    <numFmt numFmtId="170" formatCode="_(* #,##0.000_);_(* \(#,##0.000\);_(* &quot;-&quot;??_);_(@_)"/>
    <numFmt numFmtId="171" formatCode="&quot;$&quot;#,##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249977111117893"/>
      <name val="Arial"/>
      <family val="2"/>
    </font>
    <font>
      <sz val="11"/>
      <color theme="1"/>
      <name val="Arial"/>
      <family val="2"/>
    </font>
    <font>
      <sz val="24"/>
      <color theme="4"/>
      <name val="Arial"/>
      <family val="2"/>
    </font>
    <font>
      <i/>
      <sz val="9"/>
      <color rgb="FFFF0000"/>
      <name val="Arial"/>
      <family val="2"/>
    </font>
    <font>
      <sz val="9"/>
      <color theme="4"/>
      <name val="Arial"/>
      <family val="2"/>
    </font>
    <font>
      <b/>
      <sz val="12"/>
      <color theme="4" tint="0.79998168889431442"/>
      <name val="Arial"/>
      <family val="2"/>
    </font>
    <font>
      <sz val="11"/>
      <color rgb="FFFF0000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u/>
      <sz val="11"/>
      <color theme="1"/>
      <name val="Arial"/>
      <family val="2"/>
    </font>
    <font>
      <sz val="11"/>
      <color theme="0"/>
      <name val="Arial"/>
      <family val="2"/>
    </font>
    <font>
      <b/>
      <i/>
      <sz val="11"/>
      <color theme="1"/>
      <name val="Arial"/>
      <family val="2"/>
    </font>
    <font>
      <b/>
      <i/>
      <sz val="11"/>
      <color theme="8" tint="-0.249977111117893"/>
      <name val="Arial"/>
      <family val="2"/>
    </font>
    <font>
      <sz val="24"/>
      <color theme="8" tint="-0.249977111117893"/>
      <name val="Arial"/>
      <family val="2"/>
    </font>
    <font>
      <i/>
      <sz val="9"/>
      <color theme="8" tint="-0.249977111117893"/>
      <name val="Arial"/>
      <family val="2"/>
    </font>
    <font>
      <sz val="11"/>
      <color theme="8" tint="-0.249977111117893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8" tint="-0.249977111117893"/>
      <name val="Arial"/>
      <family val="2"/>
    </font>
    <font>
      <b/>
      <sz val="12"/>
      <color theme="8" tint="-0.249977111117893"/>
      <name val="Arial"/>
      <family val="2"/>
    </font>
    <font>
      <sz val="9"/>
      <color theme="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8" tint="-0.249977111117893"/>
      <name val="Arial"/>
      <family val="2"/>
    </font>
    <font>
      <sz val="9"/>
      <color rgb="FFFF0000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6E6E6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/>
      <top style="thick">
        <color theme="4" tint="-0.24994659260841701"/>
      </top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ck">
        <color theme="4" tint="-0.24994659260841701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9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Border="1"/>
    <xf numFmtId="0" fontId="8" fillId="0" borderId="0" xfId="0" applyFont="1" applyAlignment="1">
      <alignment vertical="center"/>
    </xf>
    <xf numFmtId="0" fontId="8" fillId="0" borderId="0" xfId="0" applyFont="1"/>
    <xf numFmtId="43" fontId="3" fillId="0" borderId="0" xfId="0" applyNumberFormat="1" applyFont="1"/>
    <xf numFmtId="0" fontId="11" fillId="2" borderId="0" xfId="0" applyFont="1" applyFill="1" applyBorder="1" applyAlignment="1">
      <alignment horizontal="left" vertical="top"/>
    </xf>
    <xf numFmtId="0" fontId="11" fillId="3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center" vertical="top" wrapText="1"/>
    </xf>
    <xf numFmtId="167" fontId="11" fillId="2" borderId="0" xfId="0" applyNumberFormat="1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167" fontId="11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top"/>
    </xf>
    <xf numFmtId="167" fontId="11" fillId="2" borderId="0" xfId="0" applyNumberFormat="1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left" vertical="top"/>
    </xf>
    <xf numFmtId="168" fontId="11" fillId="2" borderId="0" xfId="0" applyNumberFormat="1" applyFont="1" applyFill="1" applyBorder="1" applyAlignment="1">
      <alignment horizontal="center" vertical="top"/>
    </xf>
    <xf numFmtId="0" fontId="13" fillId="3" borderId="0" xfId="0" applyFont="1" applyFill="1" applyBorder="1" applyAlignment="1">
      <alignment horizontal="center" vertical="top" wrapText="1"/>
    </xf>
    <xf numFmtId="43" fontId="8" fillId="0" borderId="0" xfId="0" applyNumberFormat="1" applyFont="1"/>
    <xf numFmtId="0" fontId="5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/>
    </xf>
    <xf numFmtId="0" fontId="12" fillId="0" borderId="0" xfId="0" applyNumberFormat="1" applyFont="1" applyBorder="1" applyAlignment="1" applyProtection="1">
      <alignment vertical="center"/>
    </xf>
    <xf numFmtId="0" fontId="12" fillId="0" borderId="0" xfId="0" applyNumberFormat="1" applyFont="1" applyBorder="1" applyProtection="1"/>
    <xf numFmtId="0" fontId="3" fillId="0" borderId="0" xfId="0" applyFont="1" applyFill="1" applyBorder="1" applyAlignment="1" applyProtection="1">
      <alignment vertical="center"/>
    </xf>
    <xf numFmtId="0" fontId="12" fillId="0" borderId="0" xfId="0" applyFont="1" applyBorder="1" applyProtection="1"/>
    <xf numFmtId="0" fontId="9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right" vertical="center"/>
    </xf>
    <xf numFmtId="165" fontId="12" fillId="0" borderId="0" xfId="0" applyNumberFormat="1" applyFont="1" applyBorder="1" applyProtection="1"/>
    <xf numFmtId="0" fontId="3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right"/>
    </xf>
    <xf numFmtId="0" fontId="4" fillId="0" borderId="5" xfId="0" applyFont="1" applyFill="1" applyBorder="1" applyAlignment="1" applyProtection="1">
      <alignment horizontal="left" vertical="center"/>
    </xf>
    <xf numFmtId="0" fontId="3" fillId="0" borderId="5" xfId="0" applyFont="1" applyFill="1" applyBorder="1" applyProtection="1"/>
    <xf numFmtId="0" fontId="3" fillId="0" borderId="6" xfId="0" applyFont="1" applyFill="1" applyBorder="1" applyProtection="1"/>
    <xf numFmtId="0" fontId="5" fillId="0" borderId="7" xfId="0" applyFont="1" applyBorder="1" applyAlignment="1" applyProtection="1">
      <alignment horizontal="left" vertical="center"/>
    </xf>
    <xf numFmtId="0" fontId="3" fillId="0" borderId="8" xfId="0" applyFont="1" applyBorder="1" applyProtection="1"/>
    <xf numFmtId="0" fontId="16" fillId="0" borderId="7" xfId="0" applyFont="1" applyBorder="1" applyAlignment="1" applyProtection="1">
      <alignment vertical="center"/>
    </xf>
    <xf numFmtId="0" fontId="3" fillId="0" borderId="7" xfId="0" applyFont="1" applyFill="1" applyBorder="1" applyAlignment="1" applyProtection="1">
      <alignment horizontal="left" vertical="center" indent="1"/>
    </xf>
    <xf numFmtId="165" fontId="12" fillId="0" borderId="8" xfId="1" applyNumberFormat="1" applyFont="1" applyBorder="1" applyProtection="1"/>
    <xf numFmtId="0" fontId="9" fillId="0" borderId="7" xfId="0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horizontal="left"/>
    </xf>
    <xf numFmtId="0" fontId="9" fillId="0" borderId="7" xfId="0" applyFont="1" applyBorder="1" applyAlignment="1" applyProtection="1">
      <alignment horizontal="right"/>
    </xf>
    <xf numFmtId="0" fontId="10" fillId="0" borderId="10" xfId="0" applyFont="1" applyBorder="1" applyAlignment="1" applyProtection="1">
      <alignment vertical="center"/>
    </xf>
    <xf numFmtId="0" fontId="10" fillId="0" borderId="11" xfId="0" applyFont="1" applyBorder="1" applyAlignment="1" applyProtection="1">
      <alignment vertical="center"/>
    </xf>
    <xf numFmtId="0" fontId="12" fillId="0" borderId="0" xfId="0" applyNumberFormat="1" applyFont="1" applyFill="1" applyBorder="1" applyProtection="1"/>
    <xf numFmtId="165" fontId="12" fillId="0" borderId="0" xfId="0" applyNumberFormat="1" applyFont="1" applyFill="1" applyBorder="1" applyProtection="1"/>
    <xf numFmtId="164" fontId="10" fillId="0" borderId="11" xfId="0" applyNumberFormat="1" applyFont="1" applyFill="1" applyBorder="1" applyAlignment="1" applyProtection="1">
      <alignment horizontal="right" vertical="center"/>
    </xf>
    <xf numFmtId="0" fontId="3" fillId="0" borderId="11" xfId="0" applyFont="1" applyFill="1" applyBorder="1" applyAlignment="1" applyProtection="1">
      <alignment vertical="center"/>
    </xf>
    <xf numFmtId="164" fontId="10" fillId="0" borderId="12" xfId="0" applyNumberFormat="1" applyFont="1" applyFill="1" applyBorder="1" applyAlignment="1" applyProtection="1">
      <alignment horizontal="right" vertical="center"/>
    </xf>
    <xf numFmtId="12" fontId="12" fillId="0" borderId="0" xfId="0" quotePrefix="1" applyNumberFormat="1" applyFont="1" applyFill="1" applyBorder="1" applyAlignment="1" applyProtection="1">
      <alignment horizontal="right" vertical="center"/>
    </xf>
    <xf numFmtId="165" fontId="12" fillId="0" borderId="0" xfId="0" quotePrefix="1" applyNumberFormat="1" applyFont="1" applyFill="1" applyBorder="1" applyAlignment="1" applyProtection="1">
      <alignment horizontal="right" vertical="center"/>
    </xf>
    <xf numFmtId="43" fontId="2" fillId="0" borderId="8" xfId="0" applyNumberFormat="1" applyFont="1" applyFill="1" applyBorder="1" applyAlignment="1" applyProtection="1">
      <alignment horizontal="right" vertical="center"/>
    </xf>
    <xf numFmtId="165" fontId="17" fillId="0" borderId="8" xfId="1" applyNumberFormat="1" applyFont="1" applyBorder="1" applyAlignment="1" applyProtection="1">
      <alignment horizontal="right"/>
    </xf>
    <xf numFmtId="0" fontId="3" fillId="0" borderId="0" xfId="0" quotePrefix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12" fontId="12" fillId="0" borderId="0" xfId="0" quotePrefix="1" applyNumberFormat="1" applyFont="1" applyFill="1" applyBorder="1" applyAlignment="1" applyProtection="1">
      <alignment horizontal="center" vertical="center"/>
    </xf>
    <xf numFmtId="165" fontId="12" fillId="0" borderId="0" xfId="0" quotePrefix="1" applyNumberFormat="1" applyFont="1" applyFill="1" applyBorder="1" applyAlignment="1" applyProtection="1">
      <alignment horizontal="center" vertical="center"/>
    </xf>
    <xf numFmtId="166" fontId="12" fillId="0" borderId="0" xfId="0" quotePrefix="1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Border="1" applyAlignment="1" applyProtection="1">
      <alignment horizontal="center" vertical="center"/>
    </xf>
    <xf numFmtId="3" fontId="3" fillId="0" borderId="0" xfId="0" applyNumberFormat="1" applyFont="1" applyBorder="1" applyAlignment="1" applyProtection="1">
      <alignment horizontal="center" vertical="center"/>
    </xf>
    <xf numFmtId="8" fontId="3" fillId="0" borderId="0" xfId="0" quotePrefix="1" applyNumberFormat="1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7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quotePrefix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right" vertical="center"/>
    </xf>
    <xf numFmtId="2" fontId="3" fillId="0" borderId="0" xfId="0" applyNumberFormat="1" applyFont="1" applyFill="1" applyBorder="1" applyAlignment="1" applyProtection="1">
      <alignment horizontal="center" vertical="center"/>
    </xf>
    <xf numFmtId="169" fontId="3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right" vertical="center"/>
    </xf>
    <xf numFmtId="6" fontId="3" fillId="0" borderId="0" xfId="0" applyNumberFormat="1" applyFont="1" applyBorder="1" applyAlignment="1" applyProtection="1">
      <alignment horizontal="center" vertical="center"/>
    </xf>
    <xf numFmtId="6" fontId="3" fillId="0" borderId="0" xfId="0" applyNumberFormat="1" applyFont="1"/>
    <xf numFmtId="170" fontId="19" fillId="0" borderId="8" xfId="1" applyNumberFormat="1" applyFont="1" applyFill="1" applyBorder="1" applyAlignment="1" applyProtection="1">
      <alignment horizontal="right"/>
    </xf>
    <xf numFmtId="0" fontId="18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 vertical="top" indent="1"/>
    </xf>
    <xf numFmtId="43" fontId="12" fillId="0" borderId="0" xfId="0" applyNumberFormat="1" applyFont="1" applyBorder="1" applyAlignment="1" applyProtection="1">
      <alignment horizontal="left" vertical="top" indent="1"/>
    </xf>
    <xf numFmtId="0" fontId="3" fillId="0" borderId="0" xfId="0" applyFont="1" applyAlignment="1">
      <alignment horizontal="left" vertical="top" indent="1"/>
    </xf>
    <xf numFmtId="0" fontId="8" fillId="0" borderId="0" xfId="0" applyFont="1" applyAlignment="1">
      <alignment horizontal="left" vertical="top" indent="1"/>
    </xf>
    <xf numFmtId="165" fontId="19" fillId="0" borderId="8" xfId="1" applyNumberFormat="1" applyFont="1" applyFill="1" applyBorder="1" applyAlignment="1" applyProtection="1">
      <alignment horizontal="right"/>
    </xf>
    <xf numFmtId="0" fontId="20" fillId="0" borderId="4" xfId="0" applyFont="1" applyFill="1" applyBorder="1" applyAlignment="1" applyProtection="1">
      <alignment horizontal="left" vertical="center"/>
    </xf>
    <xf numFmtId="0" fontId="21" fillId="0" borderId="7" xfId="0" applyFont="1" applyBorder="1" applyAlignment="1" applyProtection="1">
      <alignment horizontal="left" vertical="center"/>
    </xf>
    <xf numFmtId="0" fontId="22" fillId="0" borderId="7" xfId="0" applyFont="1" applyBorder="1" applyAlignment="1" applyProtection="1">
      <alignment horizontal="left" vertical="center"/>
    </xf>
    <xf numFmtId="0" fontId="22" fillId="0" borderId="7" xfId="0" applyFont="1" applyFill="1" applyBorder="1" applyAlignment="1" applyProtection="1">
      <alignment horizontal="left" vertical="center"/>
    </xf>
    <xf numFmtId="165" fontId="22" fillId="0" borderId="8" xfId="1" applyNumberFormat="1" applyFont="1" applyBorder="1" applyProtection="1"/>
    <xf numFmtId="165" fontId="22" fillId="0" borderId="8" xfId="1" applyNumberFormat="1" applyFont="1" applyBorder="1" applyAlignment="1" applyProtection="1">
      <alignment horizontal="left" vertical="top" indent="1"/>
    </xf>
    <xf numFmtId="0" fontId="24" fillId="0" borderId="7" xfId="0" applyFont="1" applyBorder="1" applyAlignment="1" applyProtection="1">
      <alignment vertical="center"/>
    </xf>
    <xf numFmtId="43" fontId="25" fillId="0" borderId="8" xfId="0" applyNumberFormat="1" applyFont="1" applyFill="1" applyBorder="1" applyAlignment="1" applyProtection="1">
      <alignment vertical="center" wrapText="1"/>
    </xf>
    <xf numFmtId="0" fontId="24" fillId="0" borderId="7" xfId="0" applyFont="1" applyBorder="1" applyAlignment="1" applyProtection="1">
      <alignment horizontal="left" vertical="center" indent="1"/>
    </xf>
    <xf numFmtId="0" fontId="24" fillId="0" borderId="7" xfId="0" applyFont="1" applyFill="1" applyBorder="1" applyAlignment="1" applyProtection="1">
      <alignment horizontal="left" vertical="center" indent="1"/>
    </xf>
    <xf numFmtId="165" fontId="2" fillId="5" borderId="1" xfId="1" applyNumberFormat="1" applyFont="1" applyFill="1" applyBorder="1" applyAlignment="1" applyProtection="1">
      <alignment horizontal="right" vertical="center"/>
      <protection locked="0"/>
    </xf>
    <xf numFmtId="0" fontId="24" fillId="0" borderId="7" xfId="0" applyFont="1" applyBorder="1" applyAlignment="1" applyProtection="1">
      <alignment horizontal="left" vertical="top" indent="1"/>
    </xf>
    <xf numFmtId="0" fontId="12" fillId="0" borderId="0" xfId="0" quotePrefix="1" applyFont="1" applyBorder="1" applyProtection="1"/>
    <xf numFmtId="165" fontId="2" fillId="0" borderId="8" xfId="0" applyNumberFormat="1" applyFont="1" applyFill="1" applyBorder="1" applyAlignment="1" applyProtection="1">
      <alignment horizontal="right" vertical="center"/>
    </xf>
    <xf numFmtId="165" fontId="26" fillId="0" borderId="8" xfId="1" applyNumberFormat="1" applyFont="1" applyBorder="1" applyAlignment="1" applyProtection="1">
      <alignment horizontal="left" vertical="top" indent="1"/>
    </xf>
    <xf numFmtId="0" fontId="3" fillId="0" borderId="0" xfId="0" applyFont="1" applyAlignment="1"/>
    <xf numFmtId="0" fontId="3" fillId="0" borderId="0" xfId="0" applyFont="1" applyAlignment="1">
      <alignment vertical="top"/>
    </xf>
    <xf numFmtId="0" fontId="3" fillId="0" borderId="7" xfId="0" applyFont="1" applyBorder="1" applyAlignment="1" applyProtection="1">
      <alignment vertical="top"/>
    </xf>
    <xf numFmtId="165" fontId="26" fillId="0" borderId="8" xfId="1" applyNumberFormat="1" applyFont="1" applyBorder="1" applyAlignment="1" applyProtection="1">
      <alignment horizontal="left" vertical="top"/>
    </xf>
    <xf numFmtId="0" fontId="8" fillId="0" borderId="0" xfId="0" applyFont="1" applyAlignment="1">
      <alignment vertical="top"/>
    </xf>
    <xf numFmtId="165" fontId="26" fillId="0" borderId="0" xfId="1" applyNumberFormat="1" applyFont="1" applyBorder="1" applyAlignment="1" applyProtection="1">
      <alignment horizontal="right" vertical="top"/>
    </xf>
    <xf numFmtId="0" fontId="3" fillId="0" borderId="0" xfId="0" applyFont="1" applyAlignment="1">
      <alignment vertical="center"/>
    </xf>
    <xf numFmtId="0" fontId="24" fillId="0" borderId="7" xfId="0" applyFont="1" applyBorder="1" applyAlignment="1" applyProtection="1"/>
    <xf numFmtId="0" fontId="8" fillId="0" borderId="0" xfId="0" applyFont="1" applyAlignment="1"/>
    <xf numFmtId="43" fontId="25" fillId="0" borderId="8" xfId="0" applyNumberFormat="1" applyFont="1" applyFill="1" applyBorder="1" applyAlignment="1" applyProtection="1">
      <alignment horizontal="center" vertical="center" wrapText="1"/>
    </xf>
    <xf numFmtId="0" fontId="27" fillId="0" borderId="7" xfId="0" applyFont="1" applyBorder="1" applyAlignment="1" applyProtection="1">
      <alignment horizontal="left" vertical="top" indent="1"/>
    </xf>
    <xf numFmtId="0" fontId="27" fillId="0" borderId="0" xfId="0" applyFont="1" applyAlignment="1">
      <alignment horizontal="left" vertical="top" indent="1"/>
    </xf>
    <xf numFmtId="0" fontId="27" fillId="0" borderId="0" xfId="0" applyFont="1" applyBorder="1" applyAlignment="1" applyProtection="1">
      <alignment horizontal="left" vertical="top" indent="1"/>
    </xf>
    <xf numFmtId="0" fontId="28" fillId="0" borderId="0" xfId="0" applyNumberFormat="1" applyFont="1" applyFill="1" applyBorder="1" applyAlignment="1" applyProtection="1">
      <alignment horizontal="right" vertical="center"/>
    </xf>
    <xf numFmtId="43" fontId="29" fillId="0" borderId="0" xfId="0" applyNumberFormat="1" applyFont="1" applyBorder="1" applyAlignment="1" applyProtection="1">
      <alignment horizontal="left" vertical="top" indent="1"/>
    </xf>
    <xf numFmtId="165" fontId="30" fillId="0" borderId="8" xfId="1" applyNumberFormat="1" applyFont="1" applyBorder="1" applyAlignment="1" applyProtection="1">
      <alignment horizontal="left" vertical="top" indent="1"/>
    </xf>
    <xf numFmtId="0" fontId="31" fillId="0" borderId="0" xfId="0" applyFont="1" applyAlignment="1">
      <alignment horizontal="left" vertical="top" indent="1"/>
    </xf>
    <xf numFmtId="0" fontId="33" fillId="0" borderId="0" xfId="0" applyFont="1" applyBorder="1" applyProtection="1"/>
    <xf numFmtId="0" fontId="32" fillId="0" borderId="8" xfId="1" applyNumberFormat="1" applyFont="1" applyBorder="1" applyAlignment="1" applyProtection="1">
      <alignment horizontal="left"/>
    </xf>
    <xf numFmtId="0" fontId="32" fillId="0" borderId="0" xfId="0" applyFont="1" applyBorder="1" applyAlignment="1" applyProtection="1">
      <alignment horizontal="right"/>
    </xf>
    <xf numFmtId="43" fontId="8" fillId="0" borderId="0" xfId="0" applyNumberFormat="1" applyFont="1" applyAlignment="1">
      <alignment vertical="top"/>
    </xf>
    <xf numFmtId="0" fontId="27" fillId="0" borderId="0" xfId="0" applyFont="1" applyAlignment="1" applyProtection="1">
      <alignment horizontal="left" vertical="top" indent="1"/>
    </xf>
    <xf numFmtId="0" fontId="3" fillId="0" borderId="0" xfId="0" applyFont="1" applyAlignment="1" applyProtection="1">
      <alignment horizontal="left" vertical="top" indent="1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/>
    </xf>
    <xf numFmtId="0" fontId="3" fillId="0" borderId="0" xfId="0" applyFont="1" applyProtection="1"/>
    <xf numFmtId="0" fontId="24" fillId="0" borderId="0" xfId="0" applyFont="1" applyProtection="1"/>
    <xf numFmtId="171" fontId="24" fillId="0" borderId="0" xfId="2" applyNumberFormat="1" applyFont="1" applyAlignment="1" applyProtection="1">
      <alignment horizontal="left"/>
    </xf>
    <xf numFmtId="171" fontId="24" fillId="0" borderId="0" xfId="0" applyNumberFormat="1" applyFont="1" applyAlignment="1" applyProtection="1">
      <alignment horizontal="left"/>
    </xf>
    <xf numFmtId="0" fontId="3" fillId="0" borderId="0" xfId="0" applyFont="1" applyAlignment="1" applyProtection="1"/>
    <xf numFmtId="171" fontId="24" fillId="0" borderId="0" xfId="2" applyNumberFormat="1" applyFont="1" applyAlignment="1" applyProtection="1">
      <alignment horizontal="left" vertical="center"/>
    </xf>
    <xf numFmtId="171" fontId="24" fillId="0" borderId="0" xfId="0" applyNumberFormat="1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165" fontId="3" fillId="0" borderId="0" xfId="0" applyNumberFormat="1" applyFont="1"/>
    <xf numFmtId="166" fontId="2" fillId="5" borderId="1" xfId="1" applyNumberFormat="1" applyFont="1" applyFill="1" applyBorder="1" applyAlignment="1" applyProtection="1">
      <alignment horizontal="right" vertical="center"/>
      <protection locked="0"/>
    </xf>
    <xf numFmtId="171" fontId="3" fillId="0" borderId="0" xfId="0" applyNumberFormat="1" applyFont="1"/>
    <xf numFmtId="44" fontId="3" fillId="0" borderId="0" xfId="2" applyFont="1"/>
    <xf numFmtId="43" fontId="25" fillId="0" borderId="8" xfId="0" applyNumberFormat="1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8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23" fillId="5" borderId="9" xfId="0" applyNumberFormat="1" applyFont="1" applyFill="1" applyBorder="1" applyAlignment="1" applyProtection="1">
      <alignment horizontal="left" vertical="center"/>
    </xf>
    <xf numFmtId="0" fontId="23" fillId="5" borderId="2" xfId="0" applyNumberFormat="1" applyFont="1" applyFill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wrapText="1"/>
    </xf>
    <xf numFmtId="0" fontId="2" fillId="5" borderId="14" xfId="0" applyNumberFormat="1" applyFont="1" applyFill="1" applyBorder="1" applyAlignment="1" applyProtection="1">
      <alignment horizontal="center" vertical="center"/>
      <protection locked="0"/>
    </xf>
    <xf numFmtId="0" fontId="2" fillId="5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1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228600</xdr:colOff>
      <xdr:row>3</xdr:row>
      <xdr:rowOff>213359</xdr:rowOff>
    </xdr:from>
    <xdr:to>
      <xdr:col>10</xdr:col>
      <xdr:colOff>1149357</xdr:colOff>
      <xdr:row>7</xdr:row>
      <xdr:rowOff>233082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F0C590A-A0C8-4606-891E-391FBBB53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1047" y="1226371"/>
          <a:ext cx="1915839" cy="17050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7"/>
  <sheetViews>
    <sheetView showGridLines="0" tabSelected="1" zoomScale="85" zoomScaleNormal="85" workbookViewId="0">
      <selection activeCell="H14" sqref="H14"/>
    </sheetView>
  </sheetViews>
  <sheetFormatPr defaultColWidth="8.81640625" defaultRowHeight="14" x14ac:dyDescent="0.3"/>
  <cols>
    <col min="1" max="1" width="1.81640625" style="1" customWidth="1"/>
    <col min="2" max="2" width="31.36328125" style="1" customWidth="1"/>
    <col min="3" max="8" width="14.453125" style="1" customWidth="1"/>
    <col min="9" max="10" width="16.08984375" style="1" hidden="1" customWidth="1"/>
    <col min="11" max="11" width="18.1796875" style="1" customWidth="1"/>
    <col min="12" max="12" width="40.6328125" style="1" hidden="1" customWidth="1"/>
    <col min="13" max="13" width="1.81640625" style="1" hidden="1" customWidth="1"/>
    <col min="14" max="14" width="7.81640625" style="1" hidden="1" customWidth="1"/>
    <col min="15" max="15" width="17.6328125" style="1" hidden="1" customWidth="1"/>
    <col min="16" max="16" width="0" style="1" hidden="1" customWidth="1"/>
    <col min="17" max="17" width="12.81640625" style="1" customWidth="1"/>
    <col min="18" max="16384" width="8.81640625" style="1"/>
  </cols>
  <sheetData>
    <row r="1" spans="1:14" ht="30" thickTop="1" x14ac:dyDescent="0.3">
      <c r="B1" s="84" t="s">
        <v>137</v>
      </c>
      <c r="C1" s="36"/>
      <c r="D1" s="36"/>
      <c r="E1" s="36"/>
      <c r="F1" s="36"/>
      <c r="G1" s="36"/>
      <c r="H1" s="37"/>
      <c r="I1" s="37"/>
      <c r="J1" s="37"/>
      <c r="K1" s="38"/>
      <c r="L1" s="2" t="s">
        <v>58</v>
      </c>
      <c r="M1" s="2"/>
      <c r="N1" s="2"/>
    </row>
    <row r="2" spans="1:14" ht="16.25" customHeight="1" x14ac:dyDescent="0.3">
      <c r="B2" s="85"/>
      <c r="C2" s="22"/>
      <c r="D2" s="22"/>
      <c r="E2" s="22"/>
      <c r="F2" s="22"/>
      <c r="G2" s="22"/>
      <c r="H2" s="23"/>
      <c r="I2" s="23"/>
      <c r="J2" s="23"/>
      <c r="K2" s="40"/>
      <c r="L2" s="1" t="s">
        <v>59</v>
      </c>
    </row>
    <row r="3" spans="1:14" ht="33" customHeight="1" thickBot="1" x14ac:dyDescent="0.35">
      <c r="B3" s="86" t="s">
        <v>136</v>
      </c>
      <c r="C3" s="141"/>
      <c r="D3" s="141"/>
      <c r="E3" s="141"/>
      <c r="F3" s="141"/>
      <c r="G3" s="141"/>
      <c r="H3" s="23"/>
      <c r="I3" s="23"/>
      <c r="J3" s="23"/>
      <c r="K3" s="40"/>
    </row>
    <row r="4" spans="1:14" ht="33" customHeight="1" thickBot="1" x14ac:dyDescent="0.35">
      <c r="B4" s="86" t="s">
        <v>0</v>
      </c>
      <c r="C4" s="141"/>
      <c r="D4" s="141"/>
      <c r="E4" s="141"/>
      <c r="F4" s="141"/>
      <c r="G4" s="141"/>
      <c r="H4" s="23"/>
      <c r="I4" s="23"/>
      <c r="J4" s="23"/>
      <c r="K4" s="40"/>
    </row>
    <row r="5" spans="1:14" ht="33" customHeight="1" thickBot="1" x14ac:dyDescent="0.35">
      <c r="B5" s="87" t="s">
        <v>135</v>
      </c>
      <c r="C5" s="141"/>
      <c r="D5" s="141"/>
      <c r="E5" s="141"/>
      <c r="F5" s="141"/>
      <c r="G5" s="141"/>
      <c r="H5" s="23"/>
      <c r="I5" s="23"/>
      <c r="J5" s="23"/>
      <c r="K5" s="40"/>
    </row>
    <row r="6" spans="1:14" ht="33" customHeight="1" thickBot="1" x14ac:dyDescent="0.35">
      <c r="B6" s="87" t="s">
        <v>62</v>
      </c>
      <c r="C6" s="141"/>
      <c r="D6" s="141"/>
      <c r="E6" s="141"/>
      <c r="F6" s="141"/>
      <c r="G6" s="141"/>
      <c r="H6" s="23"/>
      <c r="I6" s="23"/>
      <c r="J6" s="23"/>
      <c r="K6" s="40"/>
    </row>
    <row r="7" spans="1:14" ht="33" customHeight="1" thickBot="1" x14ac:dyDescent="0.35">
      <c r="B7" s="87" t="s">
        <v>63</v>
      </c>
      <c r="C7" s="141"/>
      <c r="D7" s="141"/>
      <c r="E7" s="141"/>
      <c r="F7" s="141"/>
      <c r="G7" s="141"/>
      <c r="H7" s="23"/>
      <c r="I7" s="23"/>
      <c r="J7" s="23"/>
      <c r="K7" s="40"/>
    </row>
    <row r="8" spans="1:14" ht="33" customHeight="1" thickBot="1" x14ac:dyDescent="0.35">
      <c r="B8" s="86" t="s">
        <v>200</v>
      </c>
      <c r="C8" s="141"/>
      <c r="D8" s="141"/>
      <c r="E8" s="141"/>
      <c r="F8" s="141"/>
      <c r="G8" s="141"/>
      <c r="H8" s="23"/>
      <c r="I8" s="23"/>
      <c r="J8" s="23"/>
      <c r="K8" s="40"/>
    </row>
    <row r="9" spans="1:14" ht="21" customHeight="1" x14ac:dyDescent="0.3">
      <c r="B9" s="39"/>
      <c r="C9" s="22"/>
      <c r="D9" s="22"/>
      <c r="E9" s="22"/>
      <c r="F9" s="22"/>
      <c r="G9" s="22"/>
      <c r="H9" s="23"/>
      <c r="I9" s="23"/>
      <c r="J9" s="23"/>
      <c r="K9" s="40"/>
    </row>
    <row r="10" spans="1:14" ht="21" customHeight="1" thickBot="1" x14ac:dyDescent="0.35">
      <c r="B10" s="138" t="s">
        <v>122</v>
      </c>
      <c r="C10" s="139"/>
      <c r="D10" s="139"/>
      <c r="E10" s="139"/>
      <c r="F10" s="139"/>
      <c r="G10" s="139"/>
      <c r="H10" s="139"/>
      <c r="I10" s="139"/>
      <c r="J10" s="139"/>
      <c r="K10" s="140"/>
    </row>
    <row r="11" spans="1:14" ht="18" customHeight="1" thickBot="1" x14ac:dyDescent="0.35">
      <c r="B11" s="142" t="s">
        <v>138</v>
      </c>
      <c r="C11" s="143"/>
      <c r="D11" s="24"/>
      <c r="E11" s="24"/>
      <c r="F11" s="24"/>
      <c r="G11" s="24"/>
      <c r="H11" s="24"/>
      <c r="I11" s="25"/>
      <c r="J11" s="25"/>
      <c r="K11" s="43"/>
      <c r="L11" s="4" t="s">
        <v>60</v>
      </c>
    </row>
    <row r="12" spans="1:14" ht="21" customHeight="1" thickBot="1" x14ac:dyDescent="0.35">
      <c r="A12" s="3"/>
      <c r="B12" s="92" t="s">
        <v>61</v>
      </c>
      <c r="C12" s="24"/>
      <c r="D12" s="24"/>
      <c r="E12" s="24"/>
      <c r="F12" s="24"/>
      <c r="G12" s="145" t="s">
        <v>183</v>
      </c>
      <c r="H12" s="146"/>
      <c r="I12" s="25"/>
      <c r="J12" s="25"/>
      <c r="K12" s="43"/>
      <c r="L12" s="4" t="s">
        <v>183</v>
      </c>
    </row>
    <row r="13" spans="1:14" ht="21" customHeight="1" thickBot="1" x14ac:dyDescent="0.35">
      <c r="A13" s="3"/>
      <c r="B13" s="92" t="s">
        <v>192</v>
      </c>
      <c r="C13" s="24"/>
      <c r="D13" s="24"/>
      <c r="E13" s="24"/>
      <c r="F13" s="24"/>
      <c r="G13" s="23"/>
      <c r="H13" s="94"/>
      <c r="I13" s="25"/>
      <c r="J13" s="25"/>
      <c r="K13" s="43"/>
      <c r="L13" s="4" t="s">
        <v>183</v>
      </c>
    </row>
    <row r="14" spans="1:14" ht="9.5" customHeight="1" thickBot="1" x14ac:dyDescent="0.35">
      <c r="A14" s="3"/>
      <c r="B14" s="41"/>
      <c r="C14" s="24"/>
      <c r="D14" s="24"/>
      <c r="E14" s="24"/>
      <c r="F14" s="24"/>
      <c r="G14" s="23"/>
      <c r="H14" s="23"/>
      <c r="I14" s="23"/>
      <c r="J14" s="23"/>
      <c r="K14" s="43"/>
      <c r="L14" s="4" t="s">
        <v>178</v>
      </c>
    </row>
    <row r="15" spans="1:14" ht="21" customHeight="1" thickBot="1" x14ac:dyDescent="0.35">
      <c r="B15" s="92" t="s">
        <v>139</v>
      </c>
      <c r="C15" s="24"/>
      <c r="D15" s="24"/>
      <c r="E15" s="24"/>
      <c r="F15" s="24"/>
      <c r="G15" s="23"/>
      <c r="H15" s="94">
        <v>0</v>
      </c>
      <c r="I15" s="26"/>
      <c r="J15" s="26"/>
      <c r="K15" s="43"/>
      <c r="L15" s="4" t="s">
        <v>181</v>
      </c>
      <c r="M15" s="4"/>
      <c r="N15" s="4"/>
    </row>
    <row r="16" spans="1:14" ht="21" customHeight="1" thickBot="1" x14ac:dyDescent="0.35">
      <c r="B16" s="93" t="s">
        <v>191</v>
      </c>
      <c r="C16" s="28"/>
      <c r="D16" s="28"/>
      <c r="E16" s="28"/>
      <c r="F16" s="28"/>
      <c r="G16" s="23"/>
      <c r="H16" s="94">
        <v>0</v>
      </c>
      <c r="J16" s="29"/>
      <c r="K16" s="43"/>
      <c r="L16" s="1" t="s">
        <v>190</v>
      </c>
      <c r="M16" s="4"/>
      <c r="N16" s="4"/>
    </row>
    <row r="17" spans="2:15" ht="21" customHeight="1" thickBot="1" x14ac:dyDescent="0.35">
      <c r="B17" s="93" t="s">
        <v>180</v>
      </c>
      <c r="C17" s="28"/>
      <c r="D17" s="28"/>
      <c r="E17" s="28"/>
      <c r="F17" s="28"/>
      <c r="G17" s="23"/>
      <c r="H17" s="94">
        <v>0</v>
      </c>
      <c r="I17" s="96" t="s">
        <v>142</v>
      </c>
      <c r="J17" s="29"/>
      <c r="K17" s="43"/>
      <c r="M17" s="4"/>
      <c r="N17" s="4"/>
    </row>
    <row r="18" spans="2:15" ht="11.4" customHeight="1" thickBot="1" x14ac:dyDescent="0.35">
      <c r="B18" s="93"/>
      <c r="C18" s="28"/>
      <c r="D18" s="28"/>
      <c r="E18" s="28"/>
      <c r="F18" s="28"/>
      <c r="G18" s="23"/>
      <c r="H18" s="118" t="s">
        <v>188</v>
      </c>
      <c r="I18" s="116"/>
      <c r="J18" s="116"/>
      <c r="K18" s="117">
        <f>H15-H16-H17</f>
        <v>0</v>
      </c>
      <c r="M18" s="4"/>
      <c r="N18" s="4"/>
    </row>
    <row r="19" spans="2:15" ht="21" customHeight="1" thickBot="1" x14ac:dyDescent="0.35">
      <c r="B19" s="93" t="s">
        <v>193</v>
      </c>
      <c r="C19" s="28"/>
      <c r="D19" s="28"/>
      <c r="E19" s="28"/>
      <c r="F19" s="28"/>
      <c r="G19" s="23"/>
      <c r="H19" s="134"/>
      <c r="I19" s="96" t="s">
        <v>141</v>
      </c>
      <c r="J19" s="29"/>
      <c r="K19" s="43"/>
      <c r="L19" s="4" t="s">
        <v>140</v>
      </c>
      <c r="M19" s="4"/>
      <c r="N19" s="4"/>
    </row>
    <row r="20" spans="2:15" ht="21" customHeight="1" thickBot="1" x14ac:dyDescent="0.35">
      <c r="B20" s="93" t="s">
        <v>195</v>
      </c>
      <c r="C20" s="28"/>
      <c r="D20" s="28"/>
      <c r="E20" s="28"/>
      <c r="F20" s="28"/>
      <c r="G20" s="23"/>
      <c r="H20" s="94"/>
      <c r="I20" s="96" t="s">
        <v>194</v>
      </c>
      <c r="J20" s="29"/>
      <c r="K20" s="43"/>
      <c r="L20" s="4" t="s">
        <v>140</v>
      </c>
      <c r="M20" s="4"/>
      <c r="N20" s="4"/>
    </row>
    <row r="21" spans="2:15" ht="7.75" customHeight="1" x14ac:dyDescent="0.3">
      <c r="B21" s="42"/>
      <c r="C21" s="28"/>
      <c r="D21" s="28"/>
      <c r="E21" s="28"/>
      <c r="F21" s="28"/>
      <c r="G21" s="23"/>
      <c r="H21" s="32"/>
      <c r="I21" s="29"/>
      <c r="J21" s="29"/>
      <c r="K21" s="43"/>
      <c r="L21" s="4"/>
      <c r="M21" s="4"/>
      <c r="N21" s="4"/>
    </row>
    <row r="22" spans="2:15" ht="21" customHeight="1" x14ac:dyDescent="0.3">
      <c r="B22" s="138" t="s">
        <v>146</v>
      </c>
      <c r="C22" s="139"/>
      <c r="D22" s="139"/>
      <c r="E22" s="139"/>
      <c r="F22" s="139"/>
      <c r="G22" s="139"/>
      <c r="H22" s="139"/>
      <c r="I22" s="139"/>
      <c r="J22" s="139"/>
      <c r="K22" s="140"/>
      <c r="M22" s="5"/>
      <c r="N22" s="5"/>
    </row>
    <row r="23" spans="2:15" ht="21" customHeight="1" x14ac:dyDescent="0.3">
      <c r="B23" s="41" t="s">
        <v>120</v>
      </c>
      <c r="C23" s="31"/>
      <c r="D23" s="31"/>
      <c r="E23" s="31"/>
      <c r="F23" s="31"/>
      <c r="G23" s="23"/>
      <c r="H23" s="32"/>
      <c r="I23" s="26">
        <v>15</v>
      </c>
      <c r="J23" s="26"/>
      <c r="K23" s="88">
        <f>(H15-H16-H17)*I23</f>
        <v>0</v>
      </c>
      <c r="L23" s="4">
        <v>328500</v>
      </c>
      <c r="M23" s="6"/>
      <c r="N23" s="6">
        <f>K23/L23</f>
        <v>0</v>
      </c>
    </row>
    <row r="24" spans="2:15" s="110" customFormat="1" ht="17.5" customHeight="1" x14ac:dyDescent="0.35">
      <c r="B24" s="109" t="s">
        <v>121</v>
      </c>
      <c r="C24" s="111"/>
      <c r="D24" s="111"/>
      <c r="E24" s="111"/>
      <c r="F24" s="111"/>
      <c r="G24" s="111"/>
      <c r="H24" s="112"/>
      <c r="I24" s="113"/>
      <c r="J24" s="120"/>
      <c r="K24" s="114"/>
      <c r="L24" s="110" t="s">
        <v>93</v>
      </c>
      <c r="M24" s="115"/>
      <c r="N24" s="115"/>
    </row>
    <row r="25" spans="2:15" ht="21" customHeight="1" x14ac:dyDescent="0.3">
      <c r="B25" s="41" t="s">
        <v>185</v>
      </c>
      <c r="C25" s="31"/>
      <c r="D25" s="31"/>
      <c r="E25" s="31"/>
      <c r="F25" s="31"/>
      <c r="G25" s="23"/>
      <c r="H25" s="32"/>
      <c r="I25" s="80">
        <v>18250</v>
      </c>
      <c r="J25" s="121"/>
      <c r="K25" s="89">
        <f>(((H19*H13)*0.87)*I25)</f>
        <v>0</v>
      </c>
      <c r="L25" s="4"/>
    </row>
    <row r="26" spans="2:15" s="81" customFormat="1" ht="13.25" customHeight="1" x14ac:dyDescent="0.35">
      <c r="B26" s="109" t="s">
        <v>187</v>
      </c>
      <c r="C26" s="79"/>
      <c r="D26" s="79"/>
      <c r="E26" s="79"/>
      <c r="F26" s="79"/>
      <c r="G26" s="79"/>
      <c r="H26" s="32"/>
      <c r="I26" s="80">
        <v>12775</v>
      </c>
      <c r="J26" s="121"/>
      <c r="K26" s="89">
        <f>((H20*1)*I26)</f>
        <v>0</v>
      </c>
      <c r="L26" s="81" t="s">
        <v>93</v>
      </c>
      <c r="M26" s="82"/>
      <c r="N26" s="82"/>
    </row>
    <row r="27" spans="2:15" s="81" customFormat="1" ht="13.25" customHeight="1" x14ac:dyDescent="0.35">
      <c r="B27" s="109" t="s">
        <v>186</v>
      </c>
      <c r="C27" s="79"/>
      <c r="D27" s="79"/>
      <c r="E27" s="79"/>
      <c r="F27" s="79"/>
      <c r="G27" s="79"/>
      <c r="H27" s="32"/>
      <c r="I27" s="80"/>
      <c r="J27" s="121"/>
      <c r="K27" s="89"/>
      <c r="M27" s="82"/>
      <c r="N27" s="82"/>
    </row>
    <row r="28" spans="2:15" ht="21" customHeight="1" x14ac:dyDescent="0.3">
      <c r="B28" s="41" t="s">
        <v>182</v>
      </c>
      <c r="C28" s="31"/>
      <c r="D28" s="31"/>
      <c r="E28" s="31"/>
      <c r="F28" s="31"/>
      <c r="G28" s="23"/>
      <c r="H28" s="32"/>
      <c r="I28" s="26"/>
      <c r="J28" s="26"/>
      <c r="K28" s="89">
        <f>IF(G12="Residential",(6000*H13),IF(G12="Commercial/Retail/Industrial",15000,IF(G12="Restaurant/Fast Food",200000,"")))</f>
        <v>0</v>
      </c>
      <c r="L28" s="4"/>
    </row>
    <row r="29" spans="2:15" s="110" customFormat="1" ht="17.399999999999999" customHeight="1" x14ac:dyDescent="0.35">
      <c r="B29" s="109" t="s">
        <v>184</v>
      </c>
      <c r="C29" s="111"/>
      <c r="D29" s="111"/>
      <c r="E29" s="111"/>
      <c r="F29" s="111"/>
      <c r="G29" s="111"/>
      <c r="H29" s="112"/>
      <c r="I29" s="113"/>
      <c r="J29" s="120"/>
      <c r="K29" s="114"/>
      <c r="L29" s="110" t="s">
        <v>93</v>
      </c>
      <c r="M29" s="115"/>
      <c r="N29" s="115"/>
    </row>
    <row r="30" spans="2:15" ht="21" hidden="1" customHeight="1" x14ac:dyDescent="0.3">
      <c r="B30" s="44"/>
      <c r="C30" s="30"/>
      <c r="D30" s="30"/>
      <c r="E30" s="30"/>
      <c r="F30" s="30"/>
      <c r="G30" s="74" t="s">
        <v>123</v>
      </c>
      <c r="H30" s="50"/>
      <c r="I30" s="51"/>
      <c r="J30" s="51"/>
      <c r="K30" s="83" t="e">
        <f>K23+K25+#REF!</f>
        <v>#REF!</v>
      </c>
      <c r="L30" s="6"/>
      <c r="M30" s="21"/>
      <c r="N30" s="21"/>
      <c r="O30" s="6"/>
    </row>
    <row r="31" spans="2:15" ht="21" hidden="1" customHeight="1" x14ac:dyDescent="0.3">
      <c r="B31" s="45"/>
      <c r="C31" s="24"/>
      <c r="D31" s="24"/>
      <c r="E31" s="24"/>
      <c r="F31" s="24"/>
      <c r="G31" s="24"/>
      <c r="H31" s="50"/>
      <c r="I31" s="70" t="s">
        <v>90</v>
      </c>
      <c r="J31" s="70"/>
      <c r="K31" s="57" t="s">
        <v>94</v>
      </c>
      <c r="L31" s="4"/>
      <c r="M31" s="5"/>
      <c r="N31" s="5"/>
    </row>
    <row r="32" spans="2:15" ht="21" hidden="1" customHeight="1" x14ac:dyDescent="0.3">
      <c r="B32" s="138" t="s">
        <v>57</v>
      </c>
      <c r="C32" s="139"/>
      <c r="D32" s="139"/>
      <c r="E32" s="139"/>
      <c r="F32" s="139"/>
      <c r="G32" s="139"/>
      <c r="H32" s="139"/>
      <c r="I32" s="139"/>
      <c r="J32" s="139"/>
      <c r="K32" s="140"/>
      <c r="M32" s="4"/>
      <c r="N32" s="4"/>
    </row>
    <row r="33" spans="2:15" ht="28.25" hidden="1" customHeight="1" x14ac:dyDescent="0.3">
      <c r="B33" s="46" t="s">
        <v>124</v>
      </c>
      <c r="C33" s="34"/>
      <c r="D33" s="34"/>
      <c r="E33" s="34"/>
      <c r="F33" s="34"/>
      <c r="G33" s="23"/>
      <c r="H33" s="27"/>
      <c r="I33" s="33"/>
      <c r="J33" s="33"/>
      <c r="K33" s="58">
        <v>325851</v>
      </c>
      <c r="M33" s="5"/>
      <c r="N33" s="5"/>
    </row>
    <row r="34" spans="2:15" ht="21" hidden="1" customHeight="1" x14ac:dyDescent="0.35">
      <c r="B34" s="47"/>
      <c r="C34" s="35"/>
      <c r="D34" s="35"/>
      <c r="E34" s="35"/>
      <c r="F34" s="35"/>
      <c r="G34" s="78" t="s">
        <v>77</v>
      </c>
      <c r="H34" s="27"/>
      <c r="I34" s="33"/>
      <c r="J34" s="33"/>
      <c r="K34" s="77" t="e">
        <f>K30/K33</f>
        <v>#REF!</v>
      </c>
      <c r="M34" s="5"/>
      <c r="N34" s="5"/>
    </row>
    <row r="35" spans="2:15" ht="21" hidden="1" customHeight="1" x14ac:dyDescent="0.3">
      <c r="B35" s="45"/>
      <c r="C35" s="24"/>
      <c r="D35" s="24"/>
      <c r="E35" s="24"/>
      <c r="F35" s="24"/>
      <c r="G35" s="24"/>
      <c r="H35" s="24"/>
      <c r="I35" s="71" t="s">
        <v>90</v>
      </c>
      <c r="J35" s="71"/>
      <c r="K35" s="57" t="s">
        <v>91</v>
      </c>
      <c r="L35" s="5"/>
      <c r="N35" s="5"/>
    </row>
    <row r="36" spans="2:15" s="100" customFormat="1" ht="21" customHeight="1" x14ac:dyDescent="0.3">
      <c r="B36" s="101"/>
      <c r="C36" s="122"/>
      <c r="D36" s="122"/>
      <c r="E36" s="122"/>
      <c r="F36" s="122"/>
      <c r="G36" s="123"/>
      <c r="H36" s="104" t="s">
        <v>198</v>
      </c>
      <c r="I36" s="124"/>
      <c r="J36" s="124"/>
      <c r="K36" s="102">
        <f>IFERROR(SUM(K23:K29)/H13,-0.1)</f>
        <v>-0.1</v>
      </c>
      <c r="M36" s="103"/>
      <c r="N36" s="119"/>
    </row>
    <row r="37" spans="2:15" s="100" customFormat="1" ht="21" hidden="1" customHeight="1" x14ac:dyDescent="0.35">
      <c r="B37" s="101"/>
      <c r="C37" s="79" t="str">
        <f>IF(AND($K$36&gt;=0,$K$36&lt;C$43), "TIER", " ")</f>
        <v xml:space="preserve"> </v>
      </c>
      <c r="D37" s="79" t="str">
        <f>IF(AND($K$36&gt;C$43,$K$36&lt;D$43), "TIER", " ")</f>
        <v xml:space="preserve"> </v>
      </c>
      <c r="E37" s="79" t="str">
        <f t="shared" ref="E37:J37" si="0">IF(AND($K$36&gt;D$43,$K$36&lt;E$43), "TIER", " ")</f>
        <v xml:space="preserve"> </v>
      </c>
      <c r="F37" s="79" t="str">
        <f t="shared" si="0"/>
        <v xml:space="preserve"> </v>
      </c>
      <c r="G37" s="79" t="str">
        <f t="shared" si="0"/>
        <v xml:space="preserve"> </v>
      </c>
      <c r="H37" s="79" t="str">
        <f t="shared" si="0"/>
        <v xml:space="preserve"> </v>
      </c>
      <c r="I37" s="79" t="str">
        <f t="shared" si="0"/>
        <v xml:space="preserve"> </v>
      </c>
      <c r="J37" s="79" t="str">
        <f t="shared" si="0"/>
        <v xml:space="preserve"> </v>
      </c>
      <c r="K37" s="89" t="str">
        <f>IF($K$36&gt;680000, "TIER", " ")</f>
        <v xml:space="preserve"> </v>
      </c>
      <c r="M37" s="103"/>
      <c r="N37" s="103"/>
    </row>
    <row r="38" spans="2:15" ht="21" customHeight="1" x14ac:dyDescent="0.3">
      <c r="B38" s="45"/>
      <c r="C38" s="148" t="s">
        <v>166</v>
      </c>
      <c r="D38" s="148" t="s">
        <v>149</v>
      </c>
      <c r="E38" s="148" t="s">
        <v>144</v>
      </c>
      <c r="F38" s="148" t="s">
        <v>177</v>
      </c>
      <c r="G38" s="147" t="s">
        <v>176</v>
      </c>
      <c r="H38" s="148" t="s">
        <v>172</v>
      </c>
      <c r="I38" s="125"/>
      <c r="J38" s="125"/>
      <c r="K38" s="97"/>
      <c r="M38" s="5"/>
      <c r="N38" s="5"/>
    </row>
    <row r="39" spans="2:15" ht="19.75" customHeight="1" x14ac:dyDescent="0.3">
      <c r="B39" s="45"/>
      <c r="C39" s="148"/>
      <c r="D39" s="148"/>
      <c r="E39" s="148"/>
      <c r="F39" s="148"/>
      <c r="G39" s="147"/>
      <c r="H39" s="148"/>
      <c r="I39" s="125"/>
      <c r="J39" s="125"/>
      <c r="K39" s="91"/>
      <c r="M39" s="5"/>
      <c r="N39" s="5"/>
      <c r="O39" s="6">
        <f>K36/139999</f>
        <v>-7.1429081636297407E-7</v>
      </c>
    </row>
    <row r="40" spans="2:15" ht="21" customHeight="1" x14ac:dyDescent="0.3">
      <c r="B40" s="90" t="s">
        <v>95</v>
      </c>
      <c r="C40" s="126" t="s">
        <v>143</v>
      </c>
      <c r="D40" s="126" t="s">
        <v>96</v>
      </c>
      <c r="E40" s="126" t="s">
        <v>97</v>
      </c>
      <c r="F40" s="126" t="s">
        <v>101</v>
      </c>
      <c r="G40" s="126" t="s">
        <v>102</v>
      </c>
      <c r="H40" s="126" t="s">
        <v>103</v>
      </c>
      <c r="I40" s="125"/>
      <c r="J40" s="125"/>
      <c r="K40" s="137" t="s">
        <v>196</v>
      </c>
      <c r="L40" s="135">
        <f>C44*80</f>
        <v>1173648</v>
      </c>
      <c r="M40" s="5"/>
      <c r="N40" s="5"/>
      <c r="O40" s="136">
        <f>O39*24451</f>
        <v>-1.746512475089108E-2</v>
      </c>
    </row>
    <row r="41" spans="2:15" ht="21" customHeight="1" x14ac:dyDescent="0.3">
      <c r="B41" s="90" t="s">
        <v>131</v>
      </c>
      <c r="C41" s="126" t="s">
        <v>130</v>
      </c>
      <c r="D41" s="126" t="s">
        <v>147</v>
      </c>
      <c r="E41" s="126" t="s">
        <v>126</v>
      </c>
      <c r="F41" s="126" t="s">
        <v>132</v>
      </c>
      <c r="G41" s="126" t="s">
        <v>127</v>
      </c>
      <c r="H41" s="126" t="s">
        <v>128</v>
      </c>
      <c r="I41" s="125"/>
      <c r="J41" s="125"/>
      <c r="K41" s="137"/>
      <c r="M41" s="5"/>
      <c r="N41" s="5"/>
    </row>
    <row r="42" spans="2:15" ht="21" customHeight="1" x14ac:dyDescent="0.3">
      <c r="B42" s="90" t="s">
        <v>133</v>
      </c>
      <c r="C42" s="126" t="s">
        <v>148</v>
      </c>
      <c r="D42" s="126" t="s">
        <v>125</v>
      </c>
      <c r="E42" s="126" t="s">
        <v>169</v>
      </c>
      <c r="F42" s="126" t="s">
        <v>170</v>
      </c>
      <c r="G42" s="126" t="s">
        <v>171</v>
      </c>
      <c r="H42" s="126" t="s">
        <v>129</v>
      </c>
      <c r="I42" s="125"/>
      <c r="J42" s="125"/>
      <c r="K42" s="137"/>
      <c r="M42" s="5"/>
      <c r="N42" s="5"/>
    </row>
    <row r="43" spans="2:15" ht="21" hidden="1" customHeight="1" x14ac:dyDescent="0.3">
      <c r="B43" s="90"/>
      <c r="C43" s="126">
        <v>69999</v>
      </c>
      <c r="D43" s="126">
        <v>89999</v>
      </c>
      <c r="E43" s="126">
        <v>139999</v>
      </c>
      <c r="F43" s="126">
        <v>239999</v>
      </c>
      <c r="G43" s="126">
        <v>499999</v>
      </c>
      <c r="H43" s="126">
        <v>680000</v>
      </c>
      <c r="I43" s="125"/>
      <c r="J43" s="125"/>
      <c r="K43" s="137"/>
      <c r="M43" s="5"/>
      <c r="N43" s="5"/>
    </row>
    <row r="44" spans="2:15" s="99" customFormat="1" ht="21" customHeight="1" x14ac:dyDescent="0.3">
      <c r="B44" s="106" t="s">
        <v>134</v>
      </c>
      <c r="C44" s="127">
        <f>E44*0.6</f>
        <v>14670.6</v>
      </c>
      <c r="D44" s="127">
        <v>19560</v>
      </c>
      <c r="E44" s="128">
        <v>24451</v>
      </c>
      <c r="F44" s="128">
        <v>40833</v>
      </c>
      <c r="G44" s="127">
        <v>81666</v>
      </c>
      <c r="H44" s="127">
        <v>130568</v>
      </c>
      <c r="I44" s="129"/>
      <c r="J44" s="129"/>
      <c r="K44" s="137"/>
      <c r="M44" s="107"/>
      <c r="N44" s="107"/>
    </row>
    <row r="45" spans="2:15" s="105" customFormat="1" ht="26.5" customHeight="1" x14ac:dyDescent="0.35">
      <c r="B45" s="90" t="s">
        <v>145</v>
      </c>
      <c r="C45" s="130">
        <f>E45*0.6</f>
        <v>3433.2</v>
      </c>
      <c r="D45" s="130">
        <f>E45*0.8</f>
        <v>4577.6000000000004</v>
      </c>
      <c r="E45" s="131">
        <v>5722</v>
      </c>
      <c r="F45" s="131">
        <f>E45*1.67</f>
        <v>9555.74</v>
      </c>
      <c r="G45" s="130">
        <f>E45*3.34</f>
        <v>19111.48</v>
      </c>
      <c r="H45" s="130">
        <f>E45*5.34</f>
        <v>30555.48</v>
      </c>
      <c r="I45" s="132"/>
      <c r="J45" s="132"/>
      <c r="K45" s="108"/>
      <c r="M45" s="4"/>
      <c r="N45" s="4"/>
    </row>
    <row r="46" spans="2:15" ht="21" customHeight="1" x14ac:dyDescent="0.3">
      <c r="B46" s="138" t="s">
        <v>156</v>
      </c>
      <c r="C46" s="139"/>
      <c r="D46" s="139"/>
      <c r="E46" s="139"/>
      <c r="F46" s="139"/>
      <c r="G46" s="139"/>
      <c r="H46" s="139"/>
      <c r="I46" s="139"/>
      <c r="J46" s="139"/>
      <c r="K46" s="140"/>
      <c r="M46" s="5"/>
      <c r="N46" s="5"/>
    </row>
    <row r="47" spans="2:15" ht="21" customHeight="1" x14ac:dyDescent="0.3">
      <c r="B47" s="41" t="s">
        <v>179</v>
      </c>
      <c r="C47" s="31"/>
      <c r="D47" s="31"/>
      <c r="E47" s="31"/>
      <c r="F47" s="31"/>
      <c r="G47" s="23"/>
      <c r="H47" s="32"/>
      <c r="I47" s="26"/>
      <c r="J47" s="26"/>
      <c r="K47" s="88"/>
      <c r="L47" s="4"/>
    </row>
    <row r="48" spans="2:15" s="81" customFormat="1" ht="21" customHeight="1" x14ac:dyDescent="0.35">
      <c r="B48" s="95" t="s">
        <v>189</v>
      </c>
      <c r="C48" s="79"/>
      <c r="D48" s="79"/>
      <c r="E48" s="79"/>
      <c r="F48" s="79"/>
      <c r="G48" s="79"/>
      <c r="H48" s="104" t="s">
        <v>199</v>
      </c>
      <c r="I48" s="80"/>
      <c r="J48" s="121"/>
      <c r="K48" s="98">
        <f>IFERROR(IF(G12="Park/Irrigation Only",0,(H16/H13)),-0.1)</f>
        <v>-0.1</v>
      </c>
      <c r="M48" s="82"/>
      <c r="N48" s="82"/>
    </row>
    <row r="49" spans="2:17" s="81" customFormat="1" ht="11.4" hidden="1" customHeight="1" x14ac:dyDescent="0.35">
      <c r="B49" s="95"/>
      <c r="C49" s="79" t="str">
        <f>IF(AND($K$48&gt;0,$K$48&lt;C$55), "TIER", " ")</f>
        <v xml:space="preserve"> </v>
      </c>
      <c r="D49" s="79" t="str">
        <f t="shared" ref="D49:J49" si="1">IF(AND($K$48&gt;C$55,$K$48&lt;D$55), "TIER", " ")</f>
        <v xml:space="preserve"> </v>
      </c>
      <c r="E49" s="79" t="str">
        <f t="shared" si="1"/>
        <v xml:space="preserve"> </v>
      </c>
      <c r="F49" s="79" t="str">
        <f t="shared" si="1"/>
        <v xml:space="preserve"> </v>
      </c>
      <c r="G49" s="79" t="str">
        <f t="shared" si="1"/>
        <v xml:space="preserve"> </v>
      </c>
      <c r="H49" s="79" t="str">
        <f t="shared" si="1"/>
        <v xml:space="preserve"> </v>
      </c>
      <c r="I49" s="79" t="str">
        <f t="shared" si="1"/>
        <v xml:space="preserve"> </v>
      </c>
      <c r="J49" s="79" t="str">
        <f t="shared" si="1"/>
        <v xml:space="preserve"> </v>
      </c>
      <c r="K49" s="89" t="str">
        <f>IF($K$48&gt;26701, "TIER", " ")</f>
        <v xml:space="preserve"> </v>
      </c>
      <c r="M49" s="82"/>
      <c r="N49" s="82"/>
    </row>
    <row r="50" spans="2:17" ht="21" customHeight="1" x14ac:dyDescent="0.3">
      <c r="B50" s="144" t="s">
        <v>157</v>
      </c>
      <c r="C50" s="148" t="s">
        <v>166</v>
      </c>
      <c r="D50" s="148" t="s">
        <v>149</v>
      </c>
      <c r="E50" s="148" t="s">
        <v>144</v>
      </c>
      <c r="F50" s="148" t="s">
        <v>177</v>
      </c>
      <c r="G50" s="148" t="s">
        <v>176</v>
      </c>
      <c r="H50" s="148" t="s">
        <v>172</v>
      </c>
      <c r="I50" s="125"/>
      <c r="J50" s="125"/>
      <c r="K50" s="57"/>
      <c r="M50" s="5"/>
      <c r="N50" s="5"/>
    </row>
    <row r="51" spans="2:17" ht="19.75" customHeight="1" x14ac:dyDescent="0.3">
      <c r="B51" s="144"/>
      <c r="C51" s="148"/>
      <c r="D51" s="148"/>
      <c r="E51" s="148"/>
      <c r="F51" s="148"/>
      <c r="G51" s="148"/>
      <c r="H51" s="148"/>
      <c r="I51" s="125"/>
      <c r="J51" s="125"/>
      <c r="K51" s="91"/>
      <c r="M51" s="5"/>
      <c r="N51" s="5"/>
    </row>
    <row r="52" spans="2:17" ht="21" customHeight="1" x14ac:dyDescent="0.3">
      <c r="B52" s="90" t="s">
        <v>95</v>
      </c>
      <c r="C52" s="126" t="s">
        <v>143</v>
      </c>
      <c r="D52" s="126" t="s">
        <v>96</v>
      </c>
      <c r="E52" s="126" t="s">
        <v>97</v>
      </c>
      <c r="F52" s="126" t="s">
        <v>101</v>
      </c>
      <c r="G52" s="126" t="s">
        <v>102</v>
      </c>
      <c r="H52" s="126" t="s">
        <v>103</v>
      </c>
      <c r="I52" s="125"/>
      <c r="J52" s="125"/>
      <c r="K52" s="137" t="s">
        <v>196</v>
      </c>
      <c r="M52" s="5"/>
      <c r="N52" s="5"/>
      <c r="O52" s="133">
        <f>K48</f>
        <v>-0.1</v>
      </c>
      <c r="Q52" s="133"/>
    </row>
    <row r="53" spans="2:17" ht="21" customHeight="1" x14ac:dyDescent="0.3">
      <c r="B53" s="90" t="s">
        <v>168</v>
      </c>
      <c r="C53" s="126" t="s">
        <v>160</v>
      </c>
      <c r="D53" s="126" t="s">
        <v>158</v>
      </c>
      <c r="E53" s="126" t="s">
        <v>150</v>
      </c>
      <c r="F53" s="126" t="s">
        <v>151</v>
      </c>
      <c r="G53" s="126" t="s">
        <v>197</v>
      </c>
      <c r="H53" s="126" t="s">
        <v>164</v>
      </c>
      <c r="I53" s="125"/>
      <c r="J53" s="125"/>
      <c r="K53" s="137"/>
      <c r="M53" s="5"/>
      <c r="N53" s="5"/>
      <c r="O53" s="6">
        <f>O52/4999</f>
        <v>-2.0004000800160035E-5</v>
      </c>
    </row>
    <row r="54" spans="2:17" ht="21" customHeight="1" x14ac:dyDescent="0.3">
      <c r="B54" s="90" t="s">
        <v>167</v>
      </c>
      <c r="C54" s="126" t="s">
        <v>159</v>
      </c>
      <c r="D54" s="126" t="s">
        <v>152</v>
      </c>
      <c r="E54" s="126" t="s">
        <v>161</v>
      </c>
      <c r="F54" s="126" t="s">
        <v>162</v>
      </c>
      <c r="G54" s="126" t="s">
        <v>163</v>
      </c>
      <c r="H54" s="126" t="s">
        <v>165</v>
      </c>
      <c r="I54" s="125"/>
      <c r="J54" s="125"/>
      <c r="K54" s="137"/>
      <c r="M54" s="5"/>
      <c r="N54" s="5"/>
      <c r="O54" s="135">
        <f>E56+E57+E58</f>
        <v>4170</v>
      </c>
    </row>
    <row r="55" spans="2:17" ht="21" hidden="1" customHeight="1" x14ac:dyDescent="0.3">
      <c r="B55" s="90"/>
      <c r="C55" s="126">
        <v>999</v>
      </c>
      <c r="D55" s="126">
        <v>2499</v>
      </c>
      <c r="E55" s="126">
        <v>4999</v>
      </c>
      <c r="F55" s="126">
        <v>8699</v>
      </c>
      <c r="G55" s="126">
        <v>19999</v>
      </c>
      <c r="H55" s="126">
        <v>26700</v>
      </c>
      <c r="I55" s="125"/>
      <c r="J55" s="125"/>
      <c r="K55" s="137"/>
      <c r="M55" s="5"/>
      <c r="N55" s="5"/>
    </row>
    <row r="56" spans="2:17" ht="21" customHeight="1" x14ac:dyDescent="0.3">
      <c r="B56" s="90" t="s">
        <v>153</v>
      </c>
      <c r="C56" s="127">
        <f>E56*0.6</f>
        <v>1684.8</v>
      </c>
      <c r="D56" s="127">
        <f>E56*0.8</f>
        <v>2246.4</v>
      </c>
      <c r="E56" s="128">
        <v>2808</v>
      </c>
      <c r="F56" s="128">
        <f>E56*1.67</f>
        <v>4689.3599999999997</v>
      </c>
      <c r="G56" s="127">
        <f>E56*3.34</f>
        <v>9378.7199999999993</v>
      </c>
      <c r="H56" s="127">
        <f>E56*5.34</f>
        <v>14994.72</v>
      </c>
      <c r="I56" s="125"/>
      <c r="J56" s="125"/>
      <c r="K56" s="137"/>
      <c r="M56" s="5"/>
      <c r="N56" s="5"/>
      <c r="O56" s="136">
        <f>O54*O53</f>
        <v>-8.3416683336667338E-2</v>
      </c>
    </row>
    <row r="57" spans="2:17" ht="21" customHeight="1" x14ac:dyDescent="0.3">
      <c r="B57" s="90" t="s">
        <v>154</v>
      </c>
      <c r="C57" s="127">
        <f>E57*0.6</f>
        <v>339.59999999999997</v>
      </c>
      <c r="D57" s="127">
        <f>E57*0.8</f>
        <v>452.8</v>
      </c>
      <c r="E57" s="128">
        <v>566</v>
      </c>
      <c r="F57" s="128">
        <f>E57*1.67</f>
        <v>945.21999999999991</v>
      </c>
      <c r="G57" s="127">
        <f>E57*3.34</f>
        <v>1890.4399999999998</v>
      </c>
      <c r="H57" s="127">
        <f>E57*5.34</f>
        <v>3022.44</v>
      </c>
      <c r="I57" s="125"/>
      <c r="J57" s="125"/>
      <c r="K57" s="108"/>
      <c r="M57" s="5"/>
      <c r="N57" s="5"/>
    </row>
    <row r="58" spans="2:17" ht="21" customHeight="1" x14ac:dyDescent="0.3">
      <c r="B58" s="90" t="s">
        <v>155</v>
      </c>
      <c r="C58" s="127">
        <f>E58*0.6</f>
        <v>477.59999999999997</v>
      </c>
      <c r="D58" s="127">
        <f>E58*0.8</f>
        <v>636.80000000000007</v>
      </c>
      <c r="E58" s="128">
        <v>796</v>
      </c>
      <c r="F58" s="128">
        <f>E58*1.67</f>
        <v>1329.32</v>
      </c>
      <c r="G58" s="127">
        <f>E58*3.34</f>
        <v>2658.64</v>
      </c>
      <c r="H58" s="127">
        <f>E58*5.34</f>
        <v>4250.6400000000003</v>
      </c>
      <c r="I58" s="125"/>
      <c r="J58" s="125"/>
      <c r="K58" s="108"/>
      <c r="M58" s="5"/>
      <c r="N58" s="5"/>
    </row>
    <row r="59" spans="2:17" ht="21" customHeight="1" thickBot="1" x14ac:dyDescent="0.35">
      <c r="B59" s="48"/>
      <c r="C59" s="49"/>
      <c r="D59" s="49"/>
      <c r="E59" s="49"/>
      <c r="F59" s="49"/>
      <c r="G59" s="49"/>
      <c r="H59" s="52"/>
      <c r="I59" s="53"/>
      <c r="J59" s="53"/>
      <c r="K59" s="54"/>
      <c r="M59" s="5"/>
      <c r="N59" s="5"/>
    </row>
    <row r="60" spans="2:17" ht="14.5" thickTop="1" x14ac:dyDescent="0.3">
      <c r="H60" s="2"/>
      <c r="K60" s="2"/>
      <c r="M60" s="5"/>
      <c r="N60" s="5"/>
    </row>
    <row r="61" spans="2:17" hidden="1" x14ac:dyDescent="0.3">
      <c r="C61" s="1">
        <v>625</v>
      </c>
      <c r="G61" s="1">
        <v>12500</v>
      </c>
      <c r="H61" s="1">
        <v>110800</v>
      </c>
      <c r="K61" s="1">
        <f>H61/(43560*7.48)</f>
        <v>0.34005588210741339</v>
      </c>
      <c r="M61" s="5"/>
      <c r="N61" s="5"/>
    </row>
    <row r="62" spans="2:17" hidden="1" x14ac:dyDescent="0.3">
      <c r="B62" s="1">
        <v>1.67</v>
      </c>
      <c r="C62" s="1">
        <f t="shared" ref="C62:H64" si="2">$B62*C$61</f>
        <v>1043.75</v>
      </c>
      <c r="G62" s="1">
        <f t="shared" si="2"/>
        <v>20875</v>
      </c>
      <c r="H62" s="1">
        <f t="shared" si="2"/>
        <v>185036</v>
      </c>
      <c r="K62" s="1">
        <f>H62/(43560*7.48)</f>
        <v>0.56789332311938046</v>
      </c>
      <c r="M62" s="5"/>
      <c r="N62" s="5"/>
    </row>
    <row r="63" spans="2:17" hidden="1" x14ac:dyDescent="0.3">
      <c r="B63" s="1">
        <v>3.34</v>
      </c>
      <c r="C63" s="1">
        <f t="shared" si="2"/>
        <v>2087.5</v>
      </c>
      <c r="G63" s="1">
        <f t="shared" si="2"/>
        <v>41750</v>
      </c>
      <c r="H63" s="1">
        <f t="shared" si="2"/>
        <v>370072</v>
      </c>
      <c r="K63" s="1">
        <f>H63/(43560*7.48)</f>
        <v>1.1357866462387609</v>
      </c>
      <c r="M63" s="5"/>
      <c r="N63" s="5"/>
    </row>
    <row r="64" spans="2:17" hidden="1" x14ac:dyDescent="0.3">
      <c r="B64" s="1">
        <v>5.34</v>
      </c>
      <c r="C64" s="1">
        <f t="shared" si="2"/>
        <v>3337.5</v>
      </c>
      <c r="G64" s="1">
        <f t="shared" si="2"/>
        <v>66750</v>
      </c>
      <c r="H64" s="1">
        <f t="shared" si="2"/>
        <v>591672</v>
      </c>
      <c r="K64" s="1">
        <f>H64/(43560*7.48)</f>
        <v>1.8158984104535876</v>
      </c>
      <c r="M64" s="5"/>
      <c r="N64" s="5"/>
    </row>
    <row r="65" spans="2:14" hidden="1" x14ac:dyDescent="0.3">
      <c r="B65" s="1">
        <f>24451*B62</f>
        <v>40833.17</v>
      </c>
      <c r="M65" s="5"/>
      <c r="N65" s="5"/>
    </row>
    <row r="66" spans="2:14" hidden="1" x14ac:dyDescent="0.3">
      <c r="B66" s="1">
        <f>24451*B63</f>
        <v>81666.34</v>
      </c>
      <c r="M66" s="5"/>
      <c r="N66" s="5"/>
    </row>
    <row r="67" spans="2:14" hidden="1" x14ac:dyDescent="0.3">
      <c r="B67" s="1">
        <f>24451*B64</f>
        <v>130568.34</v>
      </c>
      <c r="M67" s="5"/>
      <c r="N67" s="5"/>
    </row>
    <row r="68" spans="2:14" hidden="1" x14ac:dyDescent="0.3">
      <c r="M68" s="5"/>
      <c r="N68" s="5"/>
    </row>
    <row r="69" spans="2:14" hidden="1" x14ac:dyDescent="0.3">
      <c r="M69" s="5"/>
      <c r="N69" s="5"/>
    </row>
    <row r="70" spans="2:14" hidden="1" x14ac:dyDescent="0.3">
      <c r="M70" s="5"/>
      <c r="N70" s="5"/>
    </row>
    <row r="71" spans="2:14" hidden="1" x14ac:dyDescent="0.3">
      <c r="M71" s="5"/>
      <c r="N71" s="5"/>
    </row>
    <row r="72" spans="2:14" hidden="1" x14ac:dyDescent="0.3">
      <c r="B72" s="59" t="s">
        <v>64</v>
      </c>
      <c r="C72" s="60" t="s">
        <v>65</v>
      </c>
      <c r="D72" s="60"/>
      <c r="E72" s="60"/>
      <c r="F72" s="60"/>
      <c r="G72" s="59" t="s">
        <v>66</v>
      </c>
      <c r="H72" s="67" t="s">
        <v>82</v>
      </c>
      <c r="I72" s="67" t="s">
        <v>92</v>
      </c>
      <c r="M72" s="5"/>
      <c r="N72" s="5"/>
    </row>
    <row r="73" spans="2:14" hidden="1" x14ac:dyDescent="0.3">
      <c r="B73" s="64"/>
      <c r="C73" s="24"/>
      <c r="D73" s="24"/>
      <c r="E73" s="24"/>
      <c r="F73" s="24"/>
      <c r="G73" s="55"/>
      <c r="H73" s="69" t="s">
        <v>83</v>
      </c>
      <c r="I73" s="69"/>
      <c r="M73" s="5"/>
      <c r="N73" s="5"/>
    </row>
    <row r="74" spans="2:14" hidden="1" x14ac:dyDescent="0.3">
      <c r="B74" s="64" t="s">
        <v>74</v>
      </c>
      <c r="C74" s="60" t="s">
        <v>75</v>
      </c>
      <c r="D74" s="60"/>
      <c r="E74" s="60"/>
      <c r="F74" s="60"/>
      <c r="G74" s="61" t="s">
        <v>67</v>
      </c>
      <c r="H74" s="28"/>
      <c r="I74" s="72">
        <f>5.34*1.31</f>
        <v>6.9954000000000001</v>
      </c>
      <c r="M74" s="5"/>
      <c r="N74" s="5"/>
    </row>
    <row r="75" spans="2:14" hidden="1" x14ac:dyDescent="0.3">
      <c r="B75" s="60" t="s">
        <v>76</v>
      </c>
      <c r="C75" s="60" t="s">
        <v>71</v>
      </c>
      <c r="D75" s="60"/>
      <c r="E75" s="60"/>
      <c r="F75" s="60"/>
      <c r="G75" s="62" t="s">
        <v>70</v>
      </c>
      <c r="H75" s="67" t="s">
        <v>88</v>
      </c>
      <c r="I75" s="72">
        <f>130/25</f>
        <v>5.2</v>
      </c>
      <c r="M75" s="5"/>
      <c r="N75" s="5"/>
    </row>
    <row r="76" spans="2:14" hidden="1" x14ac:dyDescent="0.3">
      <c r="B76" s="60" t="s">
        <v>86</v>
      </c>
      <c r="C76" s="60" t="s">
        <v>72</v>
      </c>
      <c r="D76" s="60"/>
      <c r="E76" s="60"/>
      <c r="F76" s="60"/>
      <c r="G76" s="63" t="s">
        <v>119</v>
      </c>
      <c r="H76" s="67" t="s">
        <v>89</v>
      </c>
      <c r="I76" s="73">
        <f>25000/625</f>
        <v>40</v>
      </c>
      <c r="M76" s="5"/>
      <c r="N76" s="5"/>
    </row>
    <row r="77" spans="2:14" hidden="1" x14ac:dyDescent="0.3">
      <c r="B77" s="65" t="s">
        <v>173</v>
      </c>
      <c r="C77" s="60" t="s">
        <v>174</v>
      </c>
      <c r="D77" s="60"/>
      <c r="E77" s="60"/>
      <c r="F77" s="60"/>
      <c r="G77" s="62" t="s">
        <v>68</v>
      </c>
      <c r="H77" s="67" t="s">
        <v>175</v>
      </c>
      <c r="I77" s="73">
        <f>775000/12500</f>
        <v>62</v>
      </c>
      <c r="M77" s="5"/>
      <c r="N77" s="5"/>
    </row>
    <row r="78" spans="2:14" hidden="1" x14ac:dyDescent="0.3">
      <c r="B78" s="65" t="s">
        <v>87</v>
      </c>
      <c r="C78" s="60" t="s">
        <v>73</v>
      </c>
      <c r="D78" s="60"/>
      <c r="E78" s="60"/>
      <c r="F78" s="60"/>
      <c r="G78" s="62" t="s">
        <v>69</v>
      </c>
      <c r="H78" s="67" t="s">
        <v>85</v>
      </c>
      <c r="I78" s="73">
        <f>4561605/110800</f>
        <v>41.1697202166065</v>
      </c>
      <c r="M78" s="5"/>
      <c r="N78" s="5"/>
    </row>
    <row r="79" spans="2:14" hidden="1" x14ac:dyDescent="0.3">
      <c r="B79" s="60" t="s">
        <v>78</v>
      </c>
      <c r="C79" s="60" t="s">
        <v>79</v>
      </c>
      <c r="D79" s="60"/>
      <c r="E79" s="60"/>
      <c r="F79" s="60"/>
      <c r="G79" s="56"/>
      <c r="H79" s="67" t="s">
        <v>84</v>
      </c>
      <c r="I79" s="73">
        <f>14/0.34</f>
        <v>41.17647058823529</v>
      </c>
      <c r="M79" s="5"/>
      <c r="N79" s="5"/>
    </row>
    <row r="80" spans="2:14" hidden="1" x14ac:dyDescent="0.3">
      <c r="B80" s="66" t="s">
        <v>80</v>
      </c>
      <c r="C80" s="60" t="s">
        <v>81</v>
      </c>
      <c r="D80" s="60"/>
      <c r="E80" s="60"/>
      <c r="F80" s="60"/>
      <c r="G80" s="56"/>
      <c r="H80" s="68">
        <f>1.31*91300+14*5000</f>
        <v>189603</v>
      </c>
      <c r="I80" s="72">
        <f>189603/(17100+0.34*5000)</f>
        <v>10.085265957446808</v>
      </c>
      <c r="M80" s="5"/>
      <c r="N80" s="5"/>
    </row>
    <row r="81" spans="2:14" hidden="1" x14ac:dyDescent="0.3">
      <c r="M81" s="5"/>
      <c r="N81" s="5"/>
    </row>
    <row r="82" spans="2:14" hidden="1" x14ac:dyDescent="0.3">
      <c r="M82" s="5"/>
      <c r="N82" s="5"/>
    </row>
    <row r="83" spans="2:14" hidden="1" x14ac:dyDescent="0.3">
      <c r="B83" s="60" t="s">
        <v>98</v>
      </c>
      <c r="C83" s="1" t="s">
        <v>99</v>
      </c>
      <c r="D83" s="1" t="s">
        <v>100</v>
      </c>
      <c r="E83" s="1" t="s">
        <v>100</v>
      </c>
      <c r="M83" s="5"/>
      <c r="N83" s="5"/>
    </row>
    <row r="84" spans="2:14" hidden="1" x14ac:dyDescent="0.3">
      <c r="B84" s="60" t="s">
        <v>101</v>
      </c>
      <c r="C84" s="1" t="s">
        <v>102</v>
      </c>
      <c r="D84" s="1" t="s">
        <v>103</v>
      </c>
      <c r="E84" s="1" t="s">
        <v>103</v>
      </c>
      <c r="M84" s="5"/>
      <c r="N84" s="5"/>
    </row>
    <row r="85" spans="2:14" hidden="1" x14ac:dyDescent="0.3">
      <c r="B85" s="60" t="s">
        <v>104</v>
      </c>
      <c r="C85" s="1" t="s">
        <v>105</v>
      </c>
      <c r="D85" s="1" t="s">
        <v>106</v>
      </c>
      <c r="E85" s="1" t="s">
        <v>106</v>
      </c>
      <c r="M85" s="5"/>
      <c r="N85" s="5"/>
    </row>
    <row r="86" spans="2:14" hidden="1" x14ac:dyDescent="0.3">
      <c r="B86" s="60" t="s">
        <v>107</v>
      </c>
      <c r="C86" s="1" t="s">
        <v>108</v>
      </c>
      <c r="D86" s="1" t="s">
        <v>109</v>
      </c>
      <c r="E86" s="1" t="s">
        <v>109</v>
      </c>
      <c r="M86" s="5"/>
      <c r="N86" s="5"/>
    </row>
    <row r="87" spans="2:14" hidden="1" x14ac:dyDescent="0.3">
      <c r="B87" s="60" t="s">
        <v>110</v>
      </c>
      <c r="C87" s="1" t="s">
        <v>111</v>
      </c>
      <c r="D87" s="1" t="s">
        <v>112</v>
      </c>
      <c r="E87" s="1" t="s">
        <v>112</v>
      </c>
      <c r="M87" s="5"/>
      <c r="N87" s="5"/>
    </row>
    <row r="88" spans="2:14" hidden="1" x14ac:dyDescent="0.3">
      <c r="B88" s="60" t="s">
        <v>113</v>
      </c>
      <c r="C88" s="1" t="s">
        <v>114</v>
      </c>
      <c r="D88" s="1" t="s">
        <v>115</v>
      </c>
      <c r="E88" s="1" t="s">
        <v>115</v>
      </c>
      <c r="M88" s="5"/>
      <c r="N88" s="5"/>
    </row>
    <row r="89" spans="2:14" hidden="1" x14ac:dyDescent="0.3">
      <c r="B89" s="60" t="s">
        <v>116</v>
      </c>
      <c r="C89" s="1" t="s">
        <v>117</v>
      </c>
      <c r="D89" s="1" t="s">
        <v>118</v>
      </c>
      <c r="E89" s="1" t="s">
        <v>118</v>
      </c>
      <c r="M89" s="5"/>
      <c r="N89" s="5"/>
    </row>
    <row r="90" spans="2:14" hidden="1" x14ac:dyDescent="0.3">
      <c r="B90" s="75">
        <v>40833</v>
      </c>
      <c r="C90" s="76">
        <v>81666</v>
      </c>
      <c r="D90" s="76">
        <v>130568</v>
      </c>
      <c r="E90" s="76">
        <v>130568</v>
      </c>
      <c r="M90" s="5"/>
      <c r="N90" s="5"/>
    </row>
    <row r="91" spans="2:14" hidden="1" x14ac:dyDescent="0.3">
      <c r="M91" s="5"/>
      <c r="N91" s="5"/>
    </row>
    <row r="92" spans="2:14" hidden="1" x14ac:dyDescent="0.3">
      <c r="M92" s="5"/>
      <c r="N92" s="5"/>
    </row>
    <row r="93" spans="2:14" hidden="1" x14ac:dyDescent="0.3">
      <c r="M93" s="5"/>
      <c r="N93" s="5"/>
    </row>
    <row r="94" spans="2:14" hidden="1" x14ac:dyDescent="0.3">
      <c r="M94" s="5"/>
      <c r="N94" s="5"/>
    </row>
    <row r="95" spans="2:14" hidden="1" x14ac:dyDescent="0.3">
      <c r="M95" s="5"/>
      <c r="N95" s="5"/>
    </row>
    <row r="96" spans="2:14" hidden="1" x14ac:dyDescent="0.3">
      <c r="M96" s="5"/>
      <c r="N96" s="5"/>
    </row>
    <row r="97" spans="13:14" x14ac:dyDescent="0.3">
      <c r="M97" s="5"/>
      <c r="N97" s="5"/>
    </row>
  </sheetData>
  <sheetProtection selectLockedCells="1"/>
  <mergeCells count="27">
    <mergeCell ref="K52:K56"/>
    <mergeCell ref="B50:B51"/>
    <mergeCell ref="G12:H12"/>
    <mergeCell ref="G38:G39"/>
    <mergeCell ref="H38:H39"/>
    <mergeCell ref="E38:E39"/>
    <mergeCell ref="F38:F39"/>
    <mergeCell ref="C38:C39"/>
    <mergeCell ref="D38:D39"/>
    <mergeCell ref="B46:K46"/>
    <mergeCell ref="C50:C51"/>
    <mergeCell ref="D50:D51"/>
    <mergeCell ref="E50:E51"/>
    <mergeCell ref="F50:F51"/>
    <mergeCell ref="G50:G51"/>
    <mergeCell ref="H50:H51"/>
    <mergeCell ref="K40:K44"/>
    <mergeCell ref="B22:K22"/>
    <mergeCell ref="B32:K32"/>
    <mergeCell ref="C3:G3"/>
    <mergeCell ref="C4:G4"/>
    <mergeCell ref="C5:G5"/>
    <mergeCell ref="C6:G6"/>
    <mergeCell ref="C7:G7"/>
    <mergeCell ref="C8:G8"/>
    <mergeCell ref="B10:K10"/>
    <mergeCell ref="B11:C11"/>
  </mergeCells>
  <conditionalFormatting sqref="C50">
    <cfRule type="expression" dxfId="13" priority="21">
      <formula>$C$49="TIER"</formula>
    </cfRule>
  </conditionalFormatting>
  <conditionalFormatting sqref="D50">
    <cfRule type="expression" dxfId="12" priority="20">
      <formula>$D$49="TIER"</formula>
    </cfRule>
  </conditionalFormatting>
  <conditionalFormatting sqref="E50">
    <cfRule type="expression" dxfId="11" priority="19">
      <formula>$E$49="TIER"</formula>
    </cfRule>
  </conditionalFormatting>
  <conditionalFormatting sqref="F50">
    <cfRule type="expression" dxfId="10" priority="18">
      <formula>$F$49="TIER"</formula>
    </cfRule>
  </conditionalFormatting>
  <conditionalFormatting sqref="G50">
    <cfRule type="expression" dxfId="9" priority="17">
      <formula>$G$49="TIER"</formula>
    </cfRule>
  </conditionalFormatting>
  <conditionalFormatting sqref="H50">
    <cfRule type="expression" dxfId="8" priority="16">
      <formula>$H$49="TIER"</formula>
    </cfRule>
  </conditionalFormatting>
  <conditionalFormatting sqref="C38">
    <cfRule type="expression" dxfId="7" priority="8">
      <formula>$C$37="TIER"</formula>
    </cfRule>
  </conditionalFormatting>
  <conditionalFormatting sqref="D38">
    <cfRule type="expression" dxfId="6" priority="7">
      <formula>$D$37="TIER"</formula>
    </cfRule>
  </conditionalFormatting>
  <conditionalFormatting sqref="E38">
    <cfRule type="expression" dxfId="5" priority="6">
      <formula>$E$37="TIER"</formula>
    </cfRule>
  </conditionalFormatting>
  <conditionalFormatting sqref="F38">
    <cfRule type="expression" dxfId="4" priority="5">
      <formula>$F$37="TIER"</formula>
    </cfRule>
  </conditionalFormatting>
  <conditionalFormatting sqref="G38">
    <cfRule type="expression" dxfId="3" priority="4">
      <formula>$G$37="TIER"</formula>
    </cfRule>
  </conditionalFormatting>
  <conditionalFormatting sqref="H38">
    <cfRule type="expression" dxfId="2" priority="3">
      <formula>$H$37="TIER"</formula>
    </cfRule>
  </conditionalFormatting>
  <conditionalFormatting sqref="K40:K44">
    <cfRule type="expression" dxfId="1" priority="2">
      <formula>$K$37="TIER"</formula>
    </cfRule>
  </conditionalFormatting>
  <conditionalFormatting sqref="K52:K56">
    <cfRule type="expression" dxfId="0" priority="1">
      <formula>$K$49="TIER"</formula>
    </cfRule>
  </conditionalFormatting>
  <dataValidations count="1">
    <dataValidation type="list" allowBlank="1" showInputMessage="1" showErrorMessage="1" sqref="G12:H12">
      <formula1>$L$13:$L$16</formula1>
    </dataValidation>
  </dataValidations>
  <printOptions horizontalCentered="1"/>
  <pageMargins left="0.25" right="0.25" top="0.75" bottom="0.75" header="0.3" footer="0.3"/>
  <pageSetup scale="67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C34" sqref="C34"/>
    </sheetView>
  </sheetViews>
  <sheetFormatPr defaultColWidth="8.81640625" defaultRowHeight="14" x14ac:dyDescent="0.35"/>
  <cols>
    <col min="1" max="1" width="17.81640625" style="7" customWidth="1"/>
    <col min="2" max="2" width="30.453125" style="7" customWidth="1"/>
    <col min="3" max="3" width="26.81640625" style="7" customWidth="1"/>
    <col min="4" max="4" width="33.81640625" style="7" customWidth="1"/>
    <col min="5" max="5" width="26.08984375" style="7" customWidth="1"/>
    <col min="6" max="6" width="25.81640625" style="7" customWidth="1"/>
    <col min="7" max="7" width="21.81640625" style="15" customWidth="1"/>
    <col min="8" max="9" width="21.81640625" style="7" customWidth="1"/>
    <col min="10" max="16384" width="8.81640625" style="7"/>
  </cols>
  <sheetData>
    <row r="1" spans="1:8" x14ac:dyDescent="0.35">
      <c r="A1" s="7" t="s">
        <v>1</v>
      </c>
    </row>
    <row r="2" spans="1:8" x14ac:dyDescent="0.35">
      <c r="A2" s="7" t="s">
        <v>2</v>
      </c>
    </row>
    <row r="3" spans="1:8" ht="42" x14ac:dyDescent="0.35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20" t="s">
        <v>56</v>
      </c>
      <c r="H3" s="8"/>
    </row>
    <row r="4" spans="1:8" x14ac:dyDescent="0.35">
      <c r="A4" s="9" t="s">
        <v>9</v>
      </c>
      <c r="B4" s="9" t="s">
        <v>10</v>
      </c>
      <c r="C4" s="10">
        <v>8.16</v>
      </c>
      <c r="D4" s="9" t="s">
        <v>11</v>
      </c>
      <c r="E4" s="11">
        <v>6.53</v>
      </c>
      <c r="F4" s="10" t="s">
        <v>12</v>
      </c>
      <c r="G4" s="16">
        <f>AVERAGE(C4,E4)</f>
        <v>7.3450000000000006</v>
      </c>
    </row>
    <row r="5" spans="1:8" x14ac:dyDescent="0.35">
      <c r="A5" s="9" t="s">
        <v>13</v>
      </c>
      <c r="B5" s="9" t="s">
        <v>14</v>
      </c>
      <c r="C5" s="10">
        <v>11.21</v>
      </c>
      <c r="D5" s="9" t="s">
        <v>15</v>
      </c>
      <c r="E5" s="11">
        <v>10.64</v>
      </c>
      <c r="F5" s="10" t="s">
        <v>16</v>
      </c>
      <c r="G5" s="16">
        <f t="shared" ref="G5:G13" si="0">AVERAGE(C5,E5)</f>
        <v>10.925000000000001</v>
      </c>
    </row>
    <row r="6" spans="1:8" ht="28" x14ac:dyDescent="0.35">
      <c r="A6" s="9" t="s">
        <v>17</v>
      </c>
      <c r="B6" s="12" t="s">
        <v>18</v>
      </c>
      <c r="C6" s="13">
        <v>10.33</v>
      </c>
      <c r="D6" s="12" t="s">
        <v>18</v>
      </c>
      <c r="E6" s="14">
        <v>10.33</v>
      </c>
      <c r="F6" s="13" t="s">
        <v>19</v>
      </c>
      <c r="G6" s="16">
        <f t="shared" si="0"/>
        <v>10.33</v>
      </c>
    </row>
    <row r="7" spans="1:8" ht="28" x14ac:dyDescent="0.35">
      <c r="A7" s="9" t="s">
        <v>20</v>
      </c>
      <c r="B7" s="9" t="s">
        <v>21</v>
      </c>
      <c r="C7" s="10">
        <v>3.85</v>
      </c>
      <c r="D7" s="9" t="s">
        <v>22</v>
      </c>
      <c r="E7" s="11">
        <v>2.89</v>
      </c>
      <c r="F7" s="10" t="s">
        <v>23</v>
      </c>
      <c r="G7" s="16">
        <f t="shared" si="0"/>
        <v>3.37</v>
      </c>
    </row>
    <row r="8" spans="1:8" x14ac:dyDescent="0.35">
      <c r="A8" s="9" t="s">
        <v>24</v>
      </c>
      <c r="B8" s="9"/>
      <c r="C8" s="10"/>
      <c r="D8" s="9" t="s">
        <v>25</v>
      </c>
      <c r="E8" s="10"/>
      <c r="F8" s="10"/>
      <c r="G8" s="16"/>
    </row>
    <row r="9" spans="1:8" x14ac:dyDescent="0.35">
      <c r="A9" s="9"/>
      <c r="B9" s="9"/>
      <c r="C9" s="10"/>
      <c r="D9" s="9" t="s">
        <v>26</v>
      </c>
      <c r="E9" s="10"/>
      <c r="F9" s="10"/>
      <c r="G9" s="16"/>
    </row>
    <row r="10" spans="1:8" x14ac:dyDescent="0.35">
      <c r="A10" s="9"/>
      <c r="B10" s="9"/>
      <c r="C10" s="15"/>
      <c r="D10" s="9" t="s">
        <v>27</v>
      </c>
      <c r="E10" s="10"/>
      <c r="F10" s="10"/>
      <c r="G10" s="16"/>
    </row>
    <row r="11" spans="1:8" x14ac:dyDescent="0.35">
      <c r="A11" s="7" t="s">
        <v>28</v>
      </c>
      <c r="B11" s="7" t="s">
        <v>29</v>
      </c>
      <c r="C11" s="16">
        <v>1.04</v>
      </c>
      <c r="D11" s="7" t="s">
        <v>30</v>
      </c>
      <c r="E11" s="16">
        <v>0.69</v>
      </c>
      <c r="F11" s="15" t="s">
        <v>31</v>
      </c>
      <c r="G11" s="16">
        <f t="shared" si="0"/>
        <v>0.86499999999999999</v>
      </c>
    </row>
    <row r="12" spans="1:8" x14ac:dyDescent="0.35">
      <c r="B12" s="7" t="s">
        <v>32</v>
      </c>
      <c r="C12" s="15"/>
      <c r="D12" s="7" t="s">
        <v>33</v>
      </c>
      <c r="E12" s="15"/>
      <c r="F12" s="15"/>
      <c r="G12" s="16"/>
    </row>
    <row r="13" spans="1:8" x14ac:dyDescent="0.35">
      <c r="A13" s="7" t="s">
        <v>34</v>
      </c>
      <c r="B13" s="7" t="s">
        <v>35</v>
      </c>
      <c r="C13" s="16">
        <v>15.35</v>
      </c>
      <c r="D13" s="7" t="s">
        <v>36</v>
      </c>
      <c r="E13" s="15">
        <v>8.44</v>
      </c>
      <c r="F13" s="15" t="s">
        <v>37</v>
      </c>
      <c r="G13" s="16">
        <f t="shared" si="0"/>
        <v>11.895</v>
      </c>
    </row>
    <row r="14" spans="1:8" x14ac:dyDescent="0.35">
      <c r="A14" s="17" t="s">
        <v>38</v>
      </c>
      <c r="B14" s="7" t="s">
        <v>39</v>
      </c>
      <c r="D14" s="7" t="s">
        <v>40</v>
      </c>
      <c r="E14" s="15"/>
      <c r="F14" s="15"/>
      <c r="G14" s="16"/>
    </row>
    <row r="15" spans="1:8" x14ac:dyDescent="0.35">
      <c r="C15" s="15">
        <f>SUM(C4:C14)</f>
        <v>49.940000000000005</v>
      </c>
      <c r="E15" s="16">
        <f>SUM(E4:E14)</f>
        <v>39.520000000000003</v>
      </c>
      <c r="F15" s="15"/>
      <c r="G15" s="16">
        <f>SUM(G4:G14)</f>
        <v>44.730000000000004</v>
      </c>
    </row>
    <row r="16" spans="1:8" x14ac:dyDescent="0.35">
      <c r="A16" s="17" t="s">
        <v>41</v>
      </c>
      <c r="C16" s="7">
        <f>C15*366</f>
        <v>18278.04</v>
      </c>
    </row>
    <row r="17" spans="1:7" x14ac:dyDescent="0.35">
      <c r="A17" s="18" t="s">
        <v>42</v>
      </c>
      <c r="G17" s="19"/>
    </row>
    <row r="18" spans="1:7" x14ac:dyDescent="0.35">
      <c r="A18" s="7" t="s">
        <v>43</v>
      </c>
    </row>
    <row r="19" spans="1:7" x14ac:dyDescent="0.35">
      <c r="A19" s="7" t="s">
        <v>44</v>
      </c>
    </row>
    <row r="20" spans="1:7" x14ac:dyDescent="0.35">
      <c r="A20" s="7" t="s">
        <v>45</v>
      </c>
    </row>
    <row r="21" spans="1:7" x14ac:dyDescent="0.35">
      <c r="A21" s="7" t="s">
        <v>46</v>
      </c>
    </row>
    <row r="22" spans="1:7" ht="14.5" x14ac:dyDescent="0.35">
      <c r="A22" s="7" t="s">
        <v>47</v>
      </c>
    </row>
    <row r="23" spans="1:7" x14ac:dyDescent="0.35">
      <c r="A23" s="7" t="s">
        <v>48</v>
      </c>
    </row>
    <row r="24" spans="1:7" ht="14.5" x14ac:dyDescent="0.35">
      <c r="A24" s="7" t="s">
        <v>49</v>
      </c>
    </row>
    <row r="25" spans="1:7" x14ac:dyDescent="0.35">
      <c r="A25" s="7" t="s">
        <v>50</v>
      </c>
    </row>
    <row r="26" spans="1:7" x14ac:dyDescent="0.35">
      <c r="A26" s="7" t="s">
        <v>51</v>
      </c>
    </row>
    <row r="27" spans="1:7" x14ac:dyDescent="0.35">
      <c r="A27" s="7" t="s">
        <v>52</v>
      </c>
    </row>
    <row r="28" spans="1:7" x14ac:dyDescent="0.35">
      <c r="A28" s="7" t="s">
        <v>53</v>
      </c>
    </row>
    <row r="29" spans="1:7" x14ac:dyDescent="0.35">
      <c r="A29" s="7" t="s">
        <v>54</v>
      </c>
    </row>
    <row r="30" spans="1:7" x14ac:dyDescent="0.35">
      <c r="A30" s="7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DEV. SHEET</vt:lpstr>
      <vt:lpstr>DATA</vt:lpstr>
      <vt:lpstr>'DEV.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Summers</dc:creator>
  <cp:lastModifiedBy>Sara Aragon</cp:lastModifiedBy>
  <cp:lastPrinted>2020-03-12T16:52:53Z</cp:lastPrinted>
  <dcterms:created xsi:type="dcterms:W3CDTF">2019-02-05T17:38:50Z</dcterms:created>
  <dcterms:modified xsi:type="dcterms:W3CDTF">2021-01-07T14:31:03Z</dcterms:modified>
</cp:coreProperties>
</file>